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28755" windowHeight="12330" firstSheet="3" activeTab="11"/>
  </bookViews>
  <sheets>
    <sheet name="январь 2023 г." sheetId="1" r:id="rId1"/>
    <sheet name="февраль 2023 г." sheetId="2" r:id="rId2"/>
    <sheet name="март 2023 г." sheetId="3" r:id="rId3"/>
    <sheet name="апрель 2023 г." sheetId="4" r:id="rId4"/>
    <sheet name="май 2023 г." sheetId="5" r:id="rId5"/>
    <sheet name="июнь 2023 г." sheetId="6" r:id="rId6"/>
    <sheet name="июль 2023 г." sheetId="7" r:id="rId7"/>
    <sheet name="август 2023 г." sheetId="8" r:id="rId8"/>
    <sheet name="сентябрь 2023 г." sheetId="9" r:id="rId9"/>
    <sheet name="октябрь 2023 г." sheetId="10" r:id="rId10"/>
    <sheet name="ноябрь 2023 г" sheetId="11" r:id="rId11"/>
    <sheet name="декабрь 2023 г." sheetId="12" r:id="rId12"/>
  </sheets>
  <calcPr calcId="125725"/>
</workbook>
</file>

<file path=xl/calcChain.xml><?xml version="1.0" encoding="utf-8"?>
<calcChain xmlns="http://schemas.openxmlformats.org/spreadsheetml/2006/main">
  <c r="K9" i="12"/>
  <c r="G9" s="1"/>
  <c r="G8" s="1"/>
  <c r="K8" s="1"/>
  <c r="K11" s="1"/>
  <c r="F10"/>
  <c r="E10"/>
  <c r="E11" s="1"/>
  <c r="F8"/>
  <c r="J11"/>
  <c r="I11"/>
  <c r="H11"/>
  <c r="D11"/>
  <c r="C11"/>
  <c r="K10"/>
  <c r="B9"/>
  <c r="K10" i="11"/>
  <c r="K9"/>
  <c r="G9" s="1"/>
  <c r="G8" s="1"/>
  <c r="K8" s="1"/>
  <c r="F8"/>
  <c r="F10"/>
  <c r="E10"/>
  <c r="E11" s="1"/>
  <c r="J11"/>
  <c r="I11"/>
  <c r="H11"/>
  <c r="D11"/>
  <c r="C11"/>
  <c r="B9"/>
  <c r="K10" i="10"/>
  <c r="K9"/>
  <c r="G9" s="1"/>
  <c r="G8" s="1"/>
  <c r="K8" s="1"/>
  <c r="F10"/>
  <c r="B10" s="1"/>
  <c r="B8" s="1"/>
  <c r="E10"/>
  <c r="E11" s="1"/>
  <c r="F8"/>
  <c r="F11" s="1"/>
  <c r="J11"/>
  <c r="I11"/>
  <c r="H11"/>
  <c r="D11"/>
  <c r="C11"/>
  <c r="B9"/>
  <c r="K10" i="9"/>
  <c r="K9"/>
  <c r="G9" s="1"/>
  <c r="G8" s="1"/>
  <c r="K8" s="1"/>
  <c r="F10"/>
  <c r="E10"/>
  <c r="F8"/>
  <c r="F11" s="1"/>
  <c r="J11"/>
  <c r="I11"/>
  <c r="H11"/>
  <c r="D11"/>
  <c r="C11"/>
  <c r="B9"/>
  <c r="K9" i="8"/>
  <c r="G9" s="1"/>
  <c r="G8" s="1"/>
  <c r="K8" s="1"/>
  <c r="K11" s="1"/>
  <c r="E10"/>
  <c r="E11" s="1"/>
  <c r="F10"/>
  <c r="F11" s="1"/>
  <c r="F8"/>
  <c r="J11"/>
  <c r="I11"/>
  <c r="H11"/>
  <c r="D11"/>
  <c r="C11"/>
  <c r="B9"/>
  <c r="K9" i="7"/>
  <c r="E10"/>
  <c r="E11" s="1"/>
  <c r="F10"/>
  <c r="F8"/>
  <c r="J11"/>
  <c r="I11"/>
  <c r="H11"/>
  <c r="D11"/>
  <c r="C11"/>
  <c r="K10"/>
  <c r="G9"/>
  <c r="G8" s="1"/>
  <c r="K8" s="1"/>
  <c r="B9"/>
  <c r="K9" i="6"/>
  <c r="G9" s="1"/>
  <c r="G8" s="1"/>
  <c r="K8" s="1"/>
  <c r="F10"/>
  <c r="F11" s="1"/>
  <c r="E10"/>
  <c r="E11" s="1"/>
  <c r="F8"/>
  <c r="J11"/>
  <c r="I11"/>
  <c r="H11"/>
  <c r="D11"/>
  <c r="C11"/>
  <c r="K10"/>
  <c r="B9"/>
  <c r="K9" i="5"/>
  <c r="G9" s="1"/>
  <c r="G8" s="1"/>
  <c r="K8" s="1"/>
  <c r="F10"/>
  <c r="F11" s="1"/>
  <c r="E10"/>
  <c r="E11" s="1"/>
  <c r="F8"/>
  <c r="J11"/>
  <c r="I11"/>
  <c r="H11"/>
  <c r="D11"/>
  <c r="C11"/>
  <c r="K10"/>
  <c r="B9"/>
  <c r="K9" i="4"/>
  <c r="G9" s="1"/>
  <c r="G8" s="1"/>
  <c r="K8" s="1"/>
  <c r="F8"/>
  <c r="F10"/>
  <c r="E10"/>
  <c r="E11" s="1"/>
  <c r="J11"/>
  <c r="I11"/>
  <c r="H11"/>
  <c r="D11"/>
  <c r="C11"/>
  <c r="K10"/>
  <c r="B9"/>
  <c r="K9" i="3"/>
  <c r="G9" s="1"/>
  <c r="G8" s="1"/>
  <c r="K8" s="1"/>
  <c r="F10"/>
  <c r="E10"/>
  <c r="E11" s="1"/>
  <c r="F8"/>
  <c r="J11"/>
  <c r="I11"/>
  <c r="H11"/>
  <c r="D11"/>
  <c r="C11"/>
  <c r="K10"/>
  <c r="B9"/>
  <c r="K9" i="2"/>
  <c r="F10"/>
  <c r="E10"/>
  <c r="F8"/>
  <c r="J11"/>
  <c r="I11"/>
  <c r="H11"/>
  <c r="F11"/>
  <c r="D11"/>
  <c r="C11"/>
  <c r="K10"/>
  <c r="E11"/>
  <c r="G9"/>
  <c r="G8" s="1"/>
  <c r="K8" s="1"/>
  <c r="B9"/>
  <c r="K10" i="1"/>
  <c r="K9"/>
  <c r="G9" s="1"/>
  <c r="G8" s="1"/>
  <c r="K8" s="1"/>
  <c r="F8"/>
  <c r="F11" s="1"/>
  <c r="F10"/>
  <c r="E10"/>
  <c r="J11"/>
  <c r="I11"/>
  <c r="H11"/>
  <c r="D11"/>
  <c r="C11"/>
  <c r="B9"/>
  <c r="F11" i="12" l="1"/>
  <c r="B10"/>
  <c r="B8" s="1"/>
  <c r="K11" i="11"/>
  <c r="F11"/>
  <c r="B10"/>
  <c r="B8" s="1"/>
  <c r="K11" i="10"/>
  <c r="K11" i="9"/>
  <c r="B10"/>
  <c r="B8" s="1"/>
  <c r="E11"/>
  <c r="B10" i="8"/>
  <c r="B8" s="1"/>
  <c r="K11" i="7"/>
  <c r="B10"/>
  <c r="B8" s="1"/>
  <c r="F11"/>
  <c r="K11" i="6"/>
  <c r="B8"/>
  <c r="B10"/>
  <c r="K11" i="5"/>
  <c r="B10"/>
  <c r="B8" s="1"/>
  <c r="K11" i="4"/>
  <c r="F11"/>
  <c r="B10"/>
  <c r="B8" s="1"/>
  <c r="K11" i="3"/>
  <c r="F11"/>
  <c r="B10"/>
  <c r="B8" s="1"/>
  <c r="K11" i="2"/>
  <c r="B10"/>
  <c r="B8" s="1"/>
  <c r="K11" i="1"/>
  <c r="B10"/>
  <c r="B8" s="1"/>
  <c r="E11"/>
</calcChain>
</file>

<file path=xl/sharedStrings.xml><?xml version="1.0" encoding="utf-8"?>
<sst xmlns="http://schemas.openxmlformats.org/spreadsheetml/2006/main" count="240" uniqueCount="26">
  <si>
    <t xml:space="preserve">Информация об объеме полезного отпуска электроэнергии и мощности </t>
  </si>
  <si>
    <t>потребителям АО "Пятигорские электрические сети"</t>
  </si>
  <si>
    <t>Группа потребителей</t>
  </si>
  <si>
    <t>потребление электроэнергии, т.кВт.ч.</t>
  </si>
  <si>
    <t>потребление мощности, МВт.</t>
  </si>
  <si>
    <t>Всего</t>
  </si>
  <si>
    <t>ВН</t>
  </si>
  <si>
    <t>СН1</t>
  </si>
  <si>
    <t>СН2</t>
  </si>
  <si>
    <t>НН</t>
  </si>
  <si>
    <t>Прочие</t>
  </si>
  <si>
    <t>Население и приравненные к нему потребители</t>
  </si>
  <si>
    <t xml:space="preserve">Сетевые организации в части покупки потерь электроэнергии </t>
  </si>
  <si>
    <t>ИТОГО:</t>
  </si>
  <si>
    <t>за январь 2023 г.</t>
  </si>
  <si>
    <t>за февраль 2023 г.</t>
  </si>
  <si>
    <t>за март 2023 г.</t>
  </si>
  <si>
    <t>за апрель 2023 г.</t>
  </si>
  <si>
    <t>за май 2023 г.</t>
  </si>
  <si>
    <t>за июнь 2023 г.</t>
  </si>
  <si>
    <t>за июль 2023 г.</t>
  </si>
  <si>
    <t>за август 2023 г.</t>
  </si>
  <si>
    <t>за сентябрь 2023 г.</t>
  </si>
  <si>
    <t>за октябрь 2023 г.</t>
  </si>
  <si>
    <t>за ноябрь 2023 г.</t>
  </si>
  <si>
    <t>за декабрь 2023 г.</t>
  </si>
</sst>
</file>

<file path=xl/styles.xml><?xml version="1.0" encoding="utf-8"?>
<styleSheet xmlns="http://schemas.openxmlformats.org/spreadsheetml/2006/main">
  <numFmts count="1">
    <numFmt numFmtId="164" formatCode="#,##0.000"/>
  </numFmts>
  <fonts count="4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0" fontId="3" fillId="0" borderId="2" xfId="0" applyFont="1" applyBorder="1" applyAlignment="1">
      <alignment horizontal="center"/>
    </xf>
    <xf numFmtId="0" fontId="3" fillId="0" borderId="2" xfId="0" applyFont="1" applyBorder="1"/>
    <xf numFmtId="164" fontId="3" fillId="0" borderId="2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wrapText="1"/>
    </xf>
    <xf numFmtId="0" fontId="3" fillId="0" borderId="2" xfId="0" applyFont="1" applyFill="1" applyBorder="1"/>
    <xf numFmtId="4" fontId="2" fillId="0" borderId="0" xfId="0" applyNumberFormat="1" applyFont="1"/>
    <xf numFmtId="0" fontId="3" fillId="0" borderId="0" xfId="0" applyFont="1"/>
    <xf numFmtId="164" fontId="2" fillId="0" borderId="0" xfId="0" applyNumberFormat="1" applyFont="1"/>
    <xf numFmtId="0" fontId="1" fillId="0" borderId="0" xfId="0" applyFont="1" applyBorder="1" applyAlignment="1">
      <alignment horizontal="center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M13"/>
  <sheetViews>
    <sheetView workbookViewId="0">
      <selection sqref="A1:XFD1048576"/>
    </sheetView>
  </sheetViews>
  <sheetFormatPr defaultColWidth="16.28515625" defaultRowHeight="15.75"/>
  <cols>
    <col min="1" max="1" width="22.42578125" style="9" bestFit="1" customWidth="1"/>
    <col min="2" max="2" width="11.28515625" style="1" bestFit="1" customWidth="1"/>
    <col min="3" max="3" width="10.28515625" style="1" customWidth="1"/>
    <col min="4" max="4" width="12" style="1" customWidth="1"/>
    <col min="5" max="5" width="13.28515625" style="9" customWidth="1"/>
    <col min="6" max="6" width="11.28515625" style="1" customWidth="1"/>
    <col min="7" max="7" width="11.140625" style="1" customWidth="1"/>
    <col min="8" max="8" width="7.7109375" style="1" customWidth="1"/>
    <col min="9" max="9" width="9.7109375" style="1" customWidth="1"/>
    <col min="10" max="10" width="10.140625" style="1" customWidth="1"/>
    <col min="11" max="11" width="10.7109375" style="1" customWidth="1"/>
    <col min="12" max="16384" width="16.28515625" style="1"/>
  </cols>
  <sheetData>
    <row r="2" spans="1:13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3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3">
      <c r="A4" s="11" t="s">
        <v>14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6" spans="1:13">
      <c r="A6" s="12" t="s">
        <v>2</v>
      </c>
      <c r="B6" s="14" t="s">
        <v>3</v>
      </c>
      <c r="C6" s="14"/>
      <c r="D6" s="14"/>
      <c r="E6" s="14"/>
      <c r="F6" s="14"/>
      <c r="G6" s="14" t="s">
        <v>4</v>
      </c>
      <c r="H6" s="14"/>
      <c r="I6" s="14"/>
      <c r="J6" s="14"/>
      <c r="K6" s="14"/>
    </row>
    <row r="7" spans="1:13">
      <c r="A7" s="13"/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  <c r="G7" s="2" t="s">
        <v>5</v>
      </c>
      <c r="H7" s="2" t="s">
        <v>6</v>
      </c>
      <c r="I7" s="2" t="s">
        <v>7</v>
      </c>
      <c r="J7" s="2" t="s">
        <v>8</v>
      </c>
      <c r="K7" s="2" t="s">
        <v>9</v>
      </c>
    </row>
    <row r="8" spans="1:13" ht="36.75" customHeight="1">
      <c r="A8" s="3" t="s">
        <v>10</v>
      </c>
      <c r="B8" s="4">
        <f>B11-B9-B10</f>
        <v>26214.475000000006</v>
      </c>
      <c r="C8" s="4">
        <v>4662.3140000000003</v>
      </c>
      <c r="D8" s="4">
        <v>169.23</v>
      </c>
      <c r="E8" s="4">
        <v>18756.363000000001</v>
      </c>
      <c r="F8" s="4">
        <f>25800.641-F9</f>
        <v>2626.5679999999993</v>
      </c>
      <c r="G8" s="5">
        <f>G11-G9-G10</f>
        <v>50.287999999999997</v>
      </c>
      <c r="H8" s="5">
        <v>6.2430000000000003</v>
      </c>
      <c r="I8" s="5">
        <v>0.38700000000000001</v>
      </c>
      <c r="J8" s="5">
        <v>40.517000000000003</v>
      </c>
      <c r="K8" s="5">
        <f>G8-H8-I8-J8</f>
        <v>3.1409999999999911</v>
      </c>
    </row>
    <row r="9" spans="1:13" ht="63.75" customHeight="1">
      <c r="A9" s="6" t="s">
        <v>11</v>
      </c>
      <c r="B9" s="4">
        <f>C9+D9+E9+F9</f>
        <v>23174.073</v>
      </c>
      <c r="C9" s="4"/>
      <c r="D9" s="4"/>
      <c r="E9" s="4"/>
      <c r="F9" s="4">
        <v>23174.073</v>
      </c>
      <c r="G9" s="5">
        <f>H9+I9+J9+K9</f>
        <v>44.853000000000002</v>
      </c>
      <c r="H9" s="5"/>
      <c r="I9" s="5"/>
      <c r="J9" s="5"/>
      <c r="K9" s="5">
        <f>0.11+44.743</f>
        <v>44.853000000000002</v>
      </c>
    </row>
    <row r="10" spans="1:13" ht="63.75" customHeight="1">
      <c r="A10" s="6" t="s">
        <v>12</v>
      </c>
      <c r="B10" s="4">
        <f>C10+D10+E10+F10</f>
        <v>7157.7420000000002</v>
      </c>
      <c r="C10" s="4">
        <v>165.477</v>
      </c>
      <c r="D10" s="4">
        <v>306.48599999999999</v>
      </c>
      <c r="E10" s="4">
        <f>3098.008+0.801</f>
        <v>3098.8089999999997</v>
      </c>
      <c r="F10" s="4">
        <f>3575.283+11.687</f>
        <v>3586.97</v>
      </c>
      <c r="G10" s="5">
        <v>13.416</v>
      </c>
      <c r="H10" s="5">
        <v>0.311</v>
      </c>
      <c r="I10" s="5">
        <v>0.57499999999999996</v>
      </c>
      <c r="J10" s="5">
        <v>5.8170000000000002</v>
      </c>
      <c r="K10" s="5">
        <f>G10-H10-I10-J10</f>
        <v>6.713000000000001</v>
      </c>
    </row>
    <row r="11" spans="1:13" ht="34.5" customHeight="1">
      <c r="A11" s="7" t="s">
        <v>13</v>
      </c>
      <c r="B11" s="4">
        <v>56546.29</v>
      </c>
      <c r="C11" s="4">
        <f>C8+C10</f>
        <v>4827.7910000000002</v>
      </c>
      <c r="D11" s="4">
        <f t="shared" ref="D11:E11" si="0">D8+D10</f>
        <v>475.71600000000001</v>
      </c>
      <c r="E11" s="4">
        <f t="shared" si="0"/>
        <v>21855.172000000002</v>
      </c>
      <c r="F11" s="4">
        <f>F8+F9+F10</f>
        <v>29387.611000000001</v>
      </c>
      <c r="G11" s="5">
        <v>108.557</v>
      </c>
      <c r="H11" s="5">
        <f>H8+H10</f>
        <v>6.5540000000000003</v>
      </c>
      <c r="I11" s="5">
        <f t="shared" ref="I11:J11" si="1">I8+I10</f>
        <v>0.96199999999999997</v>
      </c>
      <c r="J11" s="5">
        <f t="shared" si="1"/>
        <v>46.334000000000003</v>
      </c>
      <c r="K11" s="5">
        <f>K8+K9+K10</f>
        <v>54.706999999999994</v>
      </c>
      <c r="M11" s="8"/>
    </row>
    <row r="13" spans="1:13">
      <c r="B13" s="10"/>
      <c r="G13" s="10"/>
    </row>
  </sheetData>
  <mergeCells count="6">
    <mergeCell ref="A2:K2"/>
    <mergeCell ref="A3:K3"/>
    <mergeCell ref="A4:K4"/>
    <mergeCell ref="A6:A7"/>
    <mergeCell ref="B6:F6"/>
    <mergeCell ref="G6:K6"/>
  </mergeCells>
  <pageMargins left="0.57999999999999996" right="0.17" top="0.74803149606299213" bottom="0.74803149606299213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2:M13"/>
  <sheetViews>
    <sheetView workbookViewId="0">
      <selection sqref="A1:XFD1048576"/>
    </sheetView>
  </sheetViews>
  <sheetFormatPr defaultColWidth="16.28515625" defaultRowHeight="15.75"/>
  <cols>
    <col min="1" max="1" width="22.42578125" style="9" bestFit="1" customWidth="1"/>
    <col min="2" max="2" width="11.28515625" style="1" bestFit="1" customWidth="1"/>
    <col min="3" max="3" width="10.28515625" style="1" customWidth="1"/>
    <col min="4" max="4" width="12" style="1" customWidth="1"/>
    <col min="5" max="5" width="13.28515625" style="9" customWidth="1"/>
    <col min="6" max="6" width="11.28515625" style="1" customWidth="1"/>
    <col min="7" max="7" width="11.140625" style="1" customWidth="1"/>
    <col min="8" max="8" width="7.7109375" style="1" customWidth="1"/>
    <col min="9" max="9" width="9.7109375" style="1" customWidth="1"/>
    <col min="10" max="10" width="10.140625" style="1" customWidth="1"/>
    <col min="11" max="11" width="10.7109375" style="1" customWidth="1"/>
    <col min="12" max="16384" width="16.28515625" style="1"/>
  </cols>
  <sheetData>
    <row r="2" spans="1:13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3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3">
      <c r="A4" s="11" t="s">
        <v>23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6" spans="1:13">
      <c r="A6" s="12" t="s">
        <v>2</v>
      </c>
      <c r="B6" s="14" t="s">
        <v>3</v>
      </c>
      <c r="C6" s="14"/>
      <c r="D6" s="14"/>
      <c r="E6" s="14"/>
      <c r="F6" s="14"/>
      <c r="G6" s="14" t="s">
        <v>4</v>
      </c>
      <c r="H6" s="14"/>
      <c r="I6" s="14"/>
      <c r="J6" s="14"/>
      <c r="K6" s="14"/>
    </row>
    <row r="7" spans="1:13">
      <c r="A7" s="13"/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  <c r="G7" s="2" t="s">
        <v>5</v>
      </c>
      <c r="H7" s="2" t="s">
        <v>6</v>
      </c>
      <c r="I7" s="2" t="s">
        <v>7</v>
      </c>
      <c r="J7" s="2" t="s">
        <v>8</v>
      </c>
      <c r="K7" s="2" t="s">
        <v>9</v>
      </c>
    </row>
    <row r="8" spans="1:13" ht="36.75" customHeight="1">
      <c r="A8" s="3" t="s">
        <v>10</v>
      </c>
      <c r="B8" s="4">
        <f>B11-B9-B10</f>
        <v>23193.663</v>
      </c>
      <c r="C8" s="4">
        <v>4592.848</v>
      </c>
      <c r="D8" s="4">
        <v>118.98</v>
      </c>
      <c r="E8" s="4">
        <v>15896.758</v>
      </c>
      <c r="F8" s="4">
        <f>23053.915-F9</f>
        <v>2585.0770000000011</v>
      </c>
      <c r="G8" s="5">
        <f>G11-G9-G10</f>
        <v>43.02000000000001</v>
      </c>
      <c r="H8" s="5">
        <v>6.1280000000000001</v>
      </c>
      <c r="I8" s="5">
        <v>0.14499999999999999</v>
      </c>
      <c r="J8" s="5">
        <v>33.322000000000003</v>
      </c>
      <c r="K8" s="5">
        <f>G8-H8-I8-J8</f>
        <v>3.4250000000000043</v>
      </c>
    </row>
    <row r="9" spans="1:13" ht="63.75" customHeight="1">
      <c r="A9" s="6" t="s">
        <v>11</v>
      </c>
      <c r="B9" s="4">
        <f>C9+D9+E9+F9</f>
        <v>20468.838</v>
      </c>
      <c r="C9" s="4"/>
      <c r="D9" s="4"/>
      <c r="E9" s="4"/>
      <c r="F9" s="4">
        <v>20468.838</v>
      </c>
      <c r="G9" s="5">
        <f>H9+I9+J9+K9</f>
        <v>39.616999999999997</v>
      </c>
      <c r="H9" s="5"/>
      <c r="I9" s="5"/>
      <c r="J9" s="5"/>
      <c r="K9" s="5">
        <f>0.047+39.57</f>
        <v>39.616999999999997</v>
      </c>
    </row>
    <row r="10" spans="1:13" ht="63.75" customHeight="1">
      <c r="A10" s="6" t="s">
        <v>12</v>
      </c>
      <c r="B10" s="4">
        <f>C10+D10+E10+F10</f>
        <v>5881.7000000000007</v>
      </c>
      <c r="C10" s="4">
        <v>144.953</v>
      </c>
      <c r="D10" s="4">
        <v>268.47399999999999</v>
      </c>
      <c r="E10" s="4">
        <f>2684.186+0.45</f>
        <v>2684.636</v>
      </c>
      <c r="F10" s="4">
        <f>2777.367+6.27</f>
        <v>2783.6370000000002</v>
      </c>
      <c r="G10" s="5">
        <v>11.977</v>
      </c>
      <c r="H10" s="5">
        <v>0.29599999999999999</v>
      </c>
      <c r="I10" s="5">
        <v>0.54700000000000004</v>
      </c>
      <c r="J10" s="5">
        <v>5.4720000000000004</v>
      </c>
      <c r="K10" s="5">
        <f>G10-H10-I10-J10</f>
        <v>5.6619999999999999</v>
      </c>
    </row>
    <row r="11" spans="1:13" ht="34.5" customHeight="1">
      <c r="A11" s="7" t="s">
        <v>13</v>
      </c>
      <c r="B11" s="4">
        <v>49544.201000000001</v>
      </c>
      <c r="C11" s="4">
        <f>C8+C10</f>
        <v>4737.8010000000004</v>
      </c>
      <c r="D11" s="4">
        <f t="shared" ref="D11:E11" si="0">D8+D10</f>
        <v>387.45400000000001</v>
      </c>
      <c r="E11" s="4">
        <f t="shared" si="0"/>
        <v>18581.394</v>
      </c>
      <c r="F11" s="4">
        <f>F8+F9+F10</f>
        <v>25837.552</v>
      </c>
      <c r="G11" s="5">
        <v>94.614000000000004</v>
      </c>
      <c r="H11" s="5">
        <f>H8+H10</f>
        <v>6.4240000000000004</v>
      </c>
      <c r="I11" s="5">
        <f t="shared" ref="I11:J11" si="1">I8+I10</f>
        <v>0.69200000000000006</v>
      </c>
      <c r="J11" s="5">
        <f t="shared" si="1"/>
        <v>38.794000000000004</v>
      </c>
      <c r="K11" s="5">
        <f>K8+K9+K10</f>
        <v>48.704000000000001</v>
      </c>
      <c r="M11" s="8"/>
    </row>
    <row r="13" spans="1:13">
      <c r="B13" s="10"/>
      <c r="G13" s="10"/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2:M13"/>
  <sheetViews>
    <sheetView workbookViewId="0">
      <selection sqref="A1:XFD1048576"/>
    </sheetView>
  </sheetViews>
  <sheetFormatPr defaultColWidth="16.28515625" defaultRowHeight="15.75"/>
  <cols>
    <col min="1" max="1" width="22.42578125" style="9" bestFit="1" customWidth="1"/>
    <col min="2" max="2" width="11.28515625" style="1" bestFit="1" customWidth="1"/>
    <col min="3" max="3" width="10.28515625" style="1" customWidth="1"/>
    <col min="4" max="4" width="12" style="1" customWidth="1"/>
    <col min="5" max="5" width="13.28515625" style="9" customWidth="1"/>
    <col min="6" max="6" width="11.28515625" style="1" customWidth="1"/>
    <col min="7" max="7" width="11.140625" style="1" customWidth="1"/>
    <col min="8" max="8" width="7.7109375" style="1" customWidth="1"/>
    <col min="9" max="9" width="9.7109375" style="1" customWidth="1"/>
    <col min="10" max="10" width="10.140625" style="1" customWidth="1"/>
    <col min="11" max="11" width="10.7109375" style="1" customWidth="1"/>
    <col min="12" max="16384" width="16.28515625" style="1"/>
  </cols>
  <sheetData>
    <row r="2" spans="1:13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3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3">
      <c r="A4" s="11" t="s">
        <v>24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6" spans="1:13">
      <c r="A6" s="12" t="s">
        <v>2</v>
      </c>
      <c r="B6" s="14" t="s">
        <v>3</v>
      </c>
      <c r="C6" s="14"/>
      <c r="D6" s="14"/>
      <c r="E6" s="14"/>
      <c r="F6" s="14"/>
      <c r="G6" s="14" t="s">
        <v>4</v>
      </c>
      <c r="H6" s="14"/>
      <c r="I6" s="14"/>
      <c r="J6" s="14"/>
      <c r="K6" s="14"/>
    </row>
    <row r="7" spans="1:13">
      <c r="A7" s="13"/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  <c r="G7" s="2" t="s">
        <v>5</v>
      </c>
      <c r="H7" s="2" t="s">
        <v>6</v>
      </c>
      <c r="I7" s="2" t="s">
        <v>7</v>
      </c>
      <c r="J7" s="2" t="s">
        <v>8</v>
      </c>
      <c r="K7" s="2" t="s">
        <v>9</v>
      </c>
    </row>
    <row r="8" spans="1:13" ht="36.75" customHeight="1">
      <c r="A8" s="3" t="s">
        <v>10</v>
      </c>
      <c r="B8" s="4">
        <f>B11-B9-B10</f>
        <v>23594.857000000004</v>
      </c>
      <c r="C8" s="4">
        <v>4590.6809999999996</v>
      </c>
      <c r="D8" s="4">
        <v>157.65</v>
      </c>
      <c r="E8" s="4">
        <v>16239.141</v>
      </c>
      <c r="F8" s="4">
        <f>23529.719-F9</f>
        <v>2607.385000000002</v>
      </c>
      <c r="G8" s="5">
        <f>G11-G9-G10</f>
        <v>42.448000000000008</v>
      </c>
      <c r="H8" s="5">
        <v>6.36</v>
      </c>
      <c r="I8" s="5">
        <v>0.28299999999999997</v>
      </c>
      <c r="J8" s="5">
        <v>32.262</v>
      </c>
      <c r="K8" s="5">
        <f>G8-H8-I8-J8</f>
        <v>3.5430000000000064</v>
      </c>
    </row>
    <row r="9" spans="1:13" ht="63.75" customHeight="1">
      <c r="A9" s="6" t="s">
        <v>11</v>
      </c>
      <c r="B9" s="4">
        <f>C9+D9+E9+F9</f>
        <v>20922.333999999999</v>
      </c>
      <c r="C9" s="4"/>
      <c r="D9" s="4"/>
      <c r="E9" s="4"/>
      <c r="F9" s="4">
        <v>20922.333999999999</v>
      </c>
      <c r="G9" s="5">
        <f>H9+I9+J9+K9</f>
        <v>40.496000000000002</v>
      </c>
      <c r="H9" s="5"/>
      <c r="I9" s="5"/>
      <c r="J9" s="5"/>
      <c r="K9" s="5">
        <f>0.07+40.426</f>
        <v>40.496000000000002</v>
      </c>
    </row>
    <row r="10" spans="1:13" ht="63.75" customHeight="1">
      <c r="A10" s="6" t="s">
        <v>12</v>
      </c>
      <c r="B10" s="4">
        <f>C10+D10+E10+F10</f>
        <v>6501.9330000000009</v>
      </c>
      <c r="C10" s="4">
        <v>149.411</v>
      </c>
      <c r="D10" s="4">
        <v>276.72899999999998</v>
      </c>
      <c r="E10" s="4">
        <f>2773.407+0.954</f>
        <v>2774.3610000000003</v>
      </c>
      <c r="F10" s="4">
        <f>3288.128+13.304</f>
        <v>3301.4320000000002</v>
      </c>
      <c r="G10" s="5">
        <v>12.364000000000001</v>
      </c>
      <c r="H10" s="5">
        <v>0.28499999999999998</v>
      </c>
      <c r="I10" s="5">
        <v>0.52700000000000002</v>
      </c>
      <c r="J10" s="5">
        <v>5.2850000000000001</v>
      </c>
      <c r="K10" s="5">
        <f>G10-H10-I10-J10</f>
        <v>6.2670000000000012</v>
      </c>
    </row>
    <row r="11" spans="1:13" ht="34.5" customHeight="1">
      <c r="A11" s="7" t="s">
        <v>13</v>
      </c>
      <c r="B11" s="4">
        <v>51019.124000000003</v>
      </c>
      <c r="C11" s="4">
        <f>C8+C10</f>
        <v>4740.0919999999996</v>
      </c>
      <c r="D11" s="4">
        <f t="shared" ref="D11:E11" si="0">D8+D10</f>
        <v>434.37900000000002</v>
      </c>
      <c r="E11" s="4">
        <f t="shared" si="0"/>
        <v>19013.502</v>
      </c>
      <c r="F11" s="4">
        <f>F8+F9+F10</f>
        <v>26831.151000000002</v>
      </c>
      <c r="G11" s="5">
        <v>95.308000000000007</v>
      </c>
      <c r="H11" s="5">
        <f>H8+H10</f>
        <v>6.6450000000000005</v>
      </c>
      <c r="I11" s="5">
        <f t="shared" ref="I11:J11" si="1">I8+I10</f>
        <v>0.81</v>
      </c>
      <c r="J11" s="5">
        <f t="shared" si="1"/>
        <v>37.546999999999997</v>
      </c>
      <c r="K11" s="5">
        <f>K8+K9+K10</f>
        <v>50.306000000000012</v>
      </c>
      <c r="M11" s="8"/>
    </row>
    <row r="13" spans="1:13">
      <c r="B13" s="10"/>
      <c r="G13" s="10"/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2:M13"/>
  <sheetViews>
    <sheetView tabSelected="1" workbookViewId="0">
      <selection activeCell="G11" sqref="G11"/>
    </sheetView>
  </sheetViews>
  <sheetFormatPr defaultColWidth="16.28515625" defaultRowHeight="15.75"/>
  <cols>
    <col min="1" max="1" width="22.42578125" style="9" bestFit="1" customWidth="1"/>
    <col min="2" max="2" width="11.28515625" style="1" bestFit="1" customWidth="1"/>
    <col min="3" max="3" width="10.28515625" style="1" customWidth="1"/>
    <col min="4" max="4" width="12" style="1" customWidth="1"/>
    <col min="5" max="5" width="13.28515625" style="9" customWidth="1"/>
    <col min="6" max="6" width="11.28515625" style="1" customWidth="1"/>
    <col min="7" max="7" width="11.140625" style="1" customWidth="1"/>
    <col min="8" max="8" width="7.7109375" style="1" customWidth="1"/>
    <col min="9" max="9" width="9.7109375" style="1" customWidth="1"/>
    <col min="10" max="10" width="10.140625" style="1" customWidth="1"/>
    <col min="11" max="11" width="10.7109375" style="1" customWidth="1"/>
    <col min="12" max="16384" width="16.28515625" style="1"/>
  </cols>
  <sheetData>
    <row r="2" spans="1:13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3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3">
      <c r="A4" s="11" t="s">
        <v>25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6" spans="1:13">
      <c r="A6" s="12" t="s">
        <v>2</v>
      </c>
      <c r="B6" s="14" t="s">
        <v>3</v>
      </c>
      <c r="C6" s="14"/>
      <c r="D6" s="14"/>
      <c r="E6" s="14"/>
      <c r="F6" s="14"/>
      <c r="G6" s="14" t="s">
        <v>4</v>
      </c>
      <c r="H6" s="14"/>
      <c r="I6" s="14"/>
      <c r="J6" s="14"/>
      <c r="K6" s="14"/>
    </row>
    <row r="7" spans="1:13">
      <c r="A7" s="13"/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  <c r="G7" s="2" t="s">
        <v>5</v>
      </c>
      <c r="H7" s="2" t="s">
        <v>6</v>
      </c>
      <c r="I7" s="2" t="s">
        <v>7</v>
      </c>
      <c r="J7" s="2" t="s">
        <v>8</v>
      </c>
      <c r="K7" s="2" t="s">
        <v>9</v>
      </c>
    </row>
    <row r="8" spans="1:13" ht="36.75" customHeight="1">
      <c r="A8" s="3" t="s">
        <v>10</v>
      </c>
      <c r="B8" s="4">
        <f>B11-B9-B10</f>
        <v>24329.402999999998</v>
      </c>
      <c r="C8" s="4">
        <v>4827.2629999999999</v>
      </c>
      <c r="D8" s="4">
        <v>166.35</v>
      </c>
      <c r="E8" s="4">
        <v>16512.154999999999</v>
      </c>
      <c r="F8" s="4">
        <f>24717.459-F9</f>
        <v>2823.6349999999984</v>
      </c>
      <c r="G8" s="5">
        <f>G11-G9-G10</f>
        <v>42.706999999999994</v>
      </c>
      <c r="H8" s="5">
        <v>6.5270000000000001</v>
      </c>
      <c r="I8" s="5">
        <v>0.29699999999999999</v>
      </c>
      <c r="J8" s="5">
        <v>32.241</v>
      </c>
      <c r="K8" s="5">
        <f>G8-H8-I8-J8</f>
        <v>3.6419999999999959</v>
      </c>
    </row>
    <row r="9" spans="1:13" ht="63.75" customHeight="1">
      <c r="A9" s="6" t="s">
        <v>11</v>
      </c>
      <c r="B9" s="4">
        <f>C9+D9+E9+F9</f>
        <v>21893.824000000001</v>
      </c>
      <c r="C9" s="4"/>
      <c r="D9" s="4"/>
      <c r="E9" s="4"/>
      <c r="F9" s="4">
        <v>21893.824000000001</v>
      </c>
      <c r="G9" s="5">
        <f>H9+I9+J9+K9</f>
        <v>42.375</v>
      </c>
      <c r="H9" s="5"/>
      <c r="I9" s="5"/>
      <c r="J9" s="5"/>
      <c r="K9" s="5">
        <f>0.11+42.265</f>
        <v>42.375</v>
      </c>
    </row>
    <row r="10" spans="1:13" ht="63.75" customHeight="1">
      <c r="A10" s="6" t="s">
        <v>12</v>
      </c>
      <c r="B10" s="4">
        <f>C10+D10+E10+F10</f>
        <v>10674.913</v>
      </c>
      <c r="C10" s="4">
        <v>145.87</v>
      </c>
      <c r="D10" s="4">
        <v>291.81700000000001</v>
      </c>
      <c r="E10" s="4">
        <f>3463.349+2.98</f>
        <v>3466.3290000000002</v>
      </c>
      <c r="F10" s="4">
        <f>6725.873+45.024</f>
        <v>6770.8969999999999</v>
      </c>
      <c r="G10" s="5">
        <v>13.494</v>
      </c>
      <c r="H10" s="5">
        <v>0.185</v>
      </c>
      <c r="I10" s="5">
        <v>0.371</v>
      </c>
      <c r="J10" s="5">
        <v>4.3979999999999997</v>
      </c>
      <c r="K10" s="5">
        <f>G10-H10-I10-J10</f>
        <v>8.5399999999999991</v>
      </c>
    </row>
    <row r="11" spans="1:13" ht="34.5" customHeight="1">
      <c r="A11" s="7" t="s">
        <v>13</v>
      </c>
      <c r="B11" s="4">
        <v>56898.14</v>
      </c>
      <c r="C11" s="4">
        <f>C8+C10</f>
        <v>4973.1329999999998</v>
      </c>
      <c r="D11" s="4">
        <f t="shared" ref="D11:E11" si="0">D8+D10</f>
        <v>458.16700000000003</v>
      </c>
      <c r="E11" s="4">
        <f t="shared" si="0"/>
        <v>19978.484</v>
      </c>
      <c r="F11" s="4">
        <f>F8+F9+F10</f>
        <v>31488.356</v>
      </c>
      <c r="G11" s="5">
        <v>98.575999999999993</v>
      </c>
      <c r="H11" s="5">
        <f>H8+H10</f>
        <v>6.7119999999999997</v>
      </c>
      <c r="I11" s="5">
        <f t="shared" ref="I11:J11" si="1">I8+I10</f>
        <v>0.66799999999999993</v>
      </c>
      <c r="J11" s="5">
        <f t="shared" si="1"/>
        <v>36.638999999999996</v>
      </c>
      <c r="K11" s="5">
        <f>K8+K9+K10</f>
        <v>54.556999999999995</v>
      </c>
      <c r="M11" s="8"/>
    </row>
    <row r="13" spans="1:13">
      <c r="B13" s="10"/>
      <c r="G13" s="10"/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2:M13"/>
  <sheetViews>
    <sheetView workbookViewId="0">
      <selection sqref="A1:XFD1048576"/>
    </sheetView>
  </sheetViews>
  <sheetFormatPr defaultColWidth="16.28515625" defaultRowHeight="15.75"/>
  <cols>
    <col min="1" max="1" width="22.42578125" style="9" bestFit="1" customWidth="1"/>
    <col min="2" max="2" width="11.28515625" style="1" bestFit="1" customWidth="1"/>
    <col min="3" max="3" width="10.28515625" style="1" customWidth="1"/>
    <col min="4" max="4" width="12" style="1" customWidth="1"/>
    <col min="5" max="5" width="13.28515625" style="9" customWidth="1"/>
    <col min="6" max="6" width="11.28515625" style="1" customWidth="1"/>
    <col min="7" max="7" width="11.140625" style="1" customWidth="1"/>
    <col min="8" max="8" width="7.7109375" style="1" customWidth="1"/>
    <col min="9" max="9" width="9.7109375" style="1" customWidth="1"/>
    <col min="10" max="10" width="10.140625" style="1" customWidth="1"/>
    <col min="11" max="11" width="10.7109375" style="1" customWidth="1"/>
    <col min="12" max="16384" width="16.28515625" style="1"/>
  </cols>
  <sheetData>
    <row r="2" spans="1:13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3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3">
      <c r="A4" s="11" t="s">
        <v>15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6" spans="1:13">
      <c r="A6" s="12" t="s">
        <v>2</v>
      </c>
      <c r="B6" s="14" t="s">
        <v>3</v>
      </c>
      <c r="C6" s="14"/>
      <c r="D6" s="14"/>
      <c r="E6" s="14"/>
      <c r="F6" s="14"/>
      <c r="G6" s="14" t="s">
        <v>4</v>
      </c>
      <c r="H6" s="14"/>
      <c r="I6" s="14"/>
      <c r="J6" s="14"/>
      <c r="K6" s="14"/>
    </row>
    <row r="7" spans="1:13">
      <c r="A7" s="13"/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  <c r="G7" s="2" t="s">
        <v>5</v>
      </c>
      <c r="H7" s="2" t="s">
        <v>6</v>
      </c>
      <c r="I7" s="2" t="s">
        <v>7</v>
      </c>
      <c r="J7" s="2" t="s">
        <v>8</v>
      </c>
      <c r="K7" s="2" t="s">
        <v>9</v>
      </c>
    </row>
    <row r="8" spans="1:13" ht="36.75" customHeight="1">
      <c r="A8" s="3" t="s">
        <v>10</v>
      </c>
      <c r="B8" s="4">
        <f>B11-B9-B10</f>
        <v>23877.134999999995</v>
      </c>
      <c r="C8" s="4">
        <v>4407.7179999999998</v>
      </c>
      <c r="D8" s="4">
        <v>117.78</v>
      </c>
      <c r="E8" s="4">
        <v>16977.454000000002</v>
      </c>
      <c r="F8" s="4">
        <f>24031.762-F9</f>
        <v>2374.1829999999973</v>
      </c>
      <c r="G8" s="5">
        <f>G11-G9-G10</f>
        <v>47.792000000000002</v>
      </c>
      <c r="H8" s="5">
        <v>6.6050000000000004</v>
      </c>
      <c r="I8" s="5">
        <v>0.26400000000000001</v>
      </c>
      <c r="J8" s="5">
        <v>37.718000000000004</v>
      </c>
      <c r="K8" s="5">
        <f>G8-H8-I8-J8</f>
        <v>3.2049999999999912</v>
      </c>
    </row>
    <row r="9" spans="1:13" ht="63.75" customHeight="1">
      <c r="A9" s="6" t="s">
        <v>11</v>
      </c>
      <c r="B9" s="4">
        <f>C9+D9+E9+F9</f>
        <v>21657.579000000002</v>
      </c>
      <c r="C9" s="4"/>
      <c r="D9" s="4"/>
      <c r="E9" s="4"/>
      <c r="F9" s="4">
        <v>21657.579000000002</v>
      </c>
      <c r="G9" s="5">
        <f>H9+I9+J9+K9</f>
        <v>41.917000000000002</v>
      </c>
      <c r="H9" s="5"/>
      <c r="I9" s="5"/>
      <c r="J9" s="5"/>
      <c r="K9" s="5">
        <f>0.112+41.805</f>
        <v>41.917000000000002</v>
      </c>
    </row>
    <row r="10" spans="1:13" ht="63.75" customHeight="1">
      <c r="A10" s="6" t="s">
        <v>12</v>
      </c>
      <c r="B10" s="4">
        <f>C10+D10+E10+F10</f>
        <v>6250.4940000000006</v>
      </c>
      <c r="C10" s="4">
        <v>151.70599999999999</v>
      </c>
      <c r="D10" s="4">
        <v>280.98</v>
      </c>
      <c r="E10" s="4">
        <f>2834.259+0.664</f>
        <v>2834.9230000000002</v>
      </c>
      <c r="F10" s="4">
        <f>2973.167+9.718</f>
        <v>2982.8849999999998</v>
      </c>
      <c r="G10" s="5">
        <v>11.717000000000001</v>
      </c>
      <c r="H10" s="5">
        <v>0.28499999999999998</v>
      </c>
      <c r="I10" s="5">
        <v>0.52800000000000002</v>
      </c>
      <c r="J10" s="5">
        <v>5.3220000000000001</v>
      </c>
      <c r="K10" s="5">
        <f>G10-H10-I10-J10</f>
        <v>5.5819999999999999</v>
      </c>
    </row>
    <row r="11" spans="1:13" ht="34.5" customHeight="1">
      <c r="A11" s="7" t="s">
        <v>13</v>
      </c>
      <c r="B11" s="4">
        <v>51785.207999999999</v>
      </c>
      <c r="C11" s="4">
        <f>C8+C10</f>
        <v>4559.424</v>
      </c>
      <c r="D11" s="4">
        <f t="shared" ref="D11:E11" si="0">D8+D10</f>
        <v>398.76</v>
      </c>
      <c r="E11" s="4">
        <f t="shared" si="0"/>
        <v>19812.377</v>
      </c>
      <c r="F11" s="4">
        <f>F8+F9+F10</f>
        <v>27014.646999999997</v>
      </c>
      <c r="G11" s="5">
        <v>101.426</v>
      </c>
      <c r="H11" s="5">
        <f>H8+H10</f>
        <v>6.8900000000000006</v>
      </c>
      <c r="I11" s="5">
        <f t="shared" ref="I11:J11" si="1">I8+I10</f>
        <v>0.79200000000000004</v>
      </c>
      <c r="J11" s="5">
        <f t="shared" si="1"/>
        <v>43.040000000000006</v>
      </c>
      <c r="K11" s="5">
        <f>K8+K9+K10</f>
        <v>50.703999999999994</v>
      </c>
      <c r="M11" s="8"/>
    </row>
    <row r="13" spans="1:13">
      <c r="B13" s="10"/>
      <c r="G13" s="10"/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2:M13"/>
  <sheetViews>
    <sheetView topLeftCell="A4" workbookViewId="0">
      <selection activeCell="E29" sqref="E29:E31"/>
    </sheetView>
  </sheetViews>
  <sheetFormatPr defaultColWidth="16.28515625" defaultRowHeight="15.75"/>
  <cols>
    <col min="1" max="1" width="22.42578125" style="9" bestFit="1" customWidth="1"/>
    <col min="2" max="2" width="11.28515625" style="1" bestFit="1" customWidth="1"/>
    <col min="3" max="3" width="10.28515625" style="1" customWidth="1"/>
    <col min="4" max="4" width="12" style="1" customWidth="1"/>
    <col min="5" max="5" width="13.28515625" style="9" customWidth="1"/>
    <col min="6" max="6" width="11.28515625" style="1" customWidth="1"/>
    <col min="7" max="7" width="11.140625" style="1" customWidth="1"/>
    <col min="8" max="8" width="7.7109375" style="1" customWidth="1"/>
    <col min="9" max="9" width="9.7109375" style="1" customWidth="1"/>
    <col min="10" max="10" width="10.140625" style="1" customWidth="1"/>
    <col min="11" max="11" width="10.7109375" style="1" customWidth="1"/>
    <col min="12" max="16384" width="16.28515625" style="1"/>
  </cols>
  <sheetData>
    <row r="2" spans="1:13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3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3">
      <c r="A4" s="11" t="s">
        <v>16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6" spans="1:13">
      <c r="A6" s="12" t="s">
        <v>2</v>
      </c>
      <c r="B6" s="14" t="s">
        <v>3</v>
      </c>
      <c r="C6" s="14"/>
      <c r="D6" s="14"/>
      <c r="E6" s="14"/>
      <c r="F6" s="14"/>
      <c r="G6" s="14" t="s">
        <v>4</v>
      </c>
      <c r="H6" s="14"/>
      <c r="I6" s="14"/>
      <c r="J6" s="14"/>
      <c r="K6" s="14"/>
    </row>
    <row r="7" spans="1:13">
      <c r="A7" s="13"/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  <c r="G7" s="2" t="s">
        <v>5</v>
      </c>
      <c r="H7" s="2" t="s">
        <v>6</v>
      </c>
      <c r="I7" s="2" t="s">
        <v>7</v>
      </c>
      <c r="J7" s="2" t="s">
        <v>8</v>
      </c>
      <c r="K7" s="2" t="s">
        <v>9</v>
      </c>
    </row>
    <row r="8" spans="1:13" ht="36.75" customHeight="1">
      <c r="A8" s="3" t="s">
        <v>10</v>
      </c>
      <c r="B8" s="4">
        <f>B11-B9-B10</f>
        <v>23921.705000000002</v>
      </c>
      <c r="C8" s="4">
        <v>4915.7460000000001</v>
      </c>
      <c r="D8" s="4">
        <v>153.63</v>
      </c>
      <c r="E8" s="4">
        <v>16477.045999999998</v>
      </c>
      <c r="F8" s="4">
        <f>23796.794-F9</f>
        <v>2375.2830000000031</v>
      </c>
      <c r="G8" s="5">
        <f>G11-G9-G10</f>
        <v>44.369</v>
      </c>
      <c r="H8" s="5">
        <v>6.5250000000000004</v>
      </c>
      <c r="I8" s="5">
        <v>0.27700000000000002</v>
      </c>
      <c r="J8" s="5">
        <v>34.588999999999999</v>
      </c>
      <c r="K8" s="5">
        <f>G8-H8-I8-J8</f>
        <v>2.9780000000000015</v>
      </c>
    </row>
    <row r="9" spans="1:13" ht="63.75" customHeight="1">
      <c r="A9" s="6" t="s">
        <v>11</v>
      </c>
      <c r="B9" s="4">
        <f>C9+D9+E9+F9</f>
        <v>21421.510999999999</v>
      </c>
      <c r="C9" s="4"/>
      <c r="D9" s="4"/>
      <c r="E9" s="4"/>
      <c r="F9" s="4">
        <v>21421.510999999999</v>
      </c>
      <c r="G9" s="5">
        <f>H9+I9+J9+K9</f>
        <v>41.460999999999999</v>
      </c>
      <c r="H9" s="5"/>
      <c r="I9" s="5"/>
      <c r="J9" s="5"/>
      <c r="K9" s="5">
        <f>0.074+41.387</f>
        <v>41.460999999999999</v>
      </c>
    </row>
    <row r="10" spans="1:13" ht="63.75" customHeight="1">
      <c r="A10" s="6" t="s">
        <v>12</v>
      </c>
      <c r="B10" s="4">
        <f>C10+D10+E10+F10</f>
        <v>6807.8490000000002</v>
      </c>
      <c r="C10" s="4">
        <v>152.86600000000001</v>
      </c>
      <c r="D10" s="4">
        <v>283.12799999999999</v>
      </c>
      <c r="E10" s="4">
        <f>2824.506+0.914</f>
        <v>2825.42</v>
      </c>
      <c r="F10" s="4">
        <f>3532.684+13.751</f>
        <v>3546.4350000000004</v>
      </c>
      <c r="G10" s="5">
        <v>12.646000000000001</v>
      </c>
      <c r="H10" s="5">
        <v>0.28399999999999997</v>
      </c>
      <c r="I10" s="5">
        <v>0.52600000000000002</v>
      </c>
      <c r="J10" s="5">
        <v>5.2450000000000001</v>
      </c>
      <c r="K10" s="5">
        <f>G10-H10-I10-J10</f>
        <v>6.5910000000000002</v>
      </c>
    </row>
    <row r="11" spans="1:13" ht="34.5" customHeight="1">
      <c r="A11" s="7" t="s">
        <v>13</v>
      </c>
      <c r="B11" s="4">
        <v>52151.065000000002</v>
      </c>
      <c r="C11" s="4">
        <f>C8+C10</f>
        <v>5068.6120000000001</v>
      </c>
      <c r="D11" s="4">
        <f t="shared" ref="D11:E11" si="0">D8+D10</f>
        <v>436.75799999999998</v>
      </c>
      <c r="E11" s="4">
        <f t="shared" si="0"/>
        <v>19302.466</v>
      </c>
      <c r="F11" s="4">
        <f>F8+F9+F10</f>
        <v>27343.229000000003</v>
      </c>
      <c r="G11" s="5">
        <v>98.475999999999999</v>
      </c>
      <c r="H11" s="5">
        <f>H8+H10</f>
        <v>6.8090000000000002</v>
      </c>
      <c r="I11" s="5">
        <f t="shared" ref="I11:J11" si="1">I8+I10</f>
        <v>0.80300000000000005</v>
      </c>
      <c r="J11" s="5">
        <f t="shared" si="1"/>
        <v>39.833999999999996</v>
      </c>
      <c r="K11" s="5">
        <f>K8+K9+K10</f>
        <v>51.03</v>
      </c>
      <c r="M11" s="8"/>
    </row>
    <row r="13" spans="1:13">
      <c r="B13" s="10"/>
      <c r="G13" s="10"/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M13"/>
  <sheetViews>
    <sheetView workbookViewId="0">
      <selection sqref="A1:XFD1048576"/>
    </sheetView>
  </sheetViews>
  <sheetFormatPr defaultColWidth="16.28515625" defaultRowHeight="15.75"/>
  <cols>
    <col min="1" max="1" width="22.42578125" style="9" bestFit="1" customWidth="1"/>
    <col min="2" max="2" width="11.28515625" style="1" bestFit="1" customWidth="1"/>
    <col min="3" max="3" width="10.28515625" style="1" customWidth="1"/>
    <col min="4" max="4" width="12" style="1" customWidth="1"/>
    <col min="5" max="5" width="13.28515625" style="9" customWidth="1"/>
    <col min="6" max="6" width="11.28515625" style="1" customWidth="1"/>
    <col min="7" max="7" width="11.140625" style="1" customWidth="1"/>
    <col min="8" max="8" width="7.7109375" style="1" customWidth="1"/>
    <col min="9" max="9" width="9.7109375" style="1" customWidth="1"/>
    <col min="10" max="10" width="10.140625" style="1" customWidth="1"/>
    <col min="11" max="11" width="10.7109375" style="1" customWidth="1"/>
    <col min="12" max="16384" width="16.28515625" style="1"/>
  </cols>
  <sheetData>
    <row r="2" spans="1:13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3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3">
      <c r="A4" s="11" t="s">
        <v>17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6" spans="1:13">
      <c r="A6" s="12" t="s">
        <v>2</v>
      </c>
      <c r="B6" s="14" t="s">
        <v>3</v>
      </c>
      <c r="C6" s="14"/>
      <c r="D6" s="14"/>
      <c r="E6" s="14"/>
      <c r="F6" s="14"/>
      <c r="G6" s="14" t="s">
        <v>4</v>
      </c>
      <c r="H6" s="14"/>
      <c r="I6" s="14"/>
      <c r="J6" s="14"/>
      <c r="K6" s="14"/>
    </row>
    <row r="7" spans="1:13">
      <c r="A7" s="13"/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  <c r="G7" s="2" t="s">
        <v>5</v>
      </c>
      <c r="H7" s="2" t="s">
        <v>6</v>
      </c>
      <c r="I7" s="2" t="s">
        <v>7</v>
      </c>
      <c r="J7" s="2" t="s">
        <v>8</v>
      </c>
      <c r="K7" s="2" t="s">
        <v>9</v>
      </c>
    </row>
    <row r="8" spans="1:13" ht="36.75" customHeight="1">
      <c r="A8" s="3" t="s">
        <v>10</v>
      </c>
      <c r="B8" s="4">
        <f>B11-B9-B10</f>
        <v>22055.174999999999</v>
      </c>
      <c r="C8" s="4">
        <v>4636.8209999999999</v>
      </c>
      <c r="D8" s="4">
        <v>118.14</v>
      </c>
      <c r="E8" s="4">
        <v>15014.57</v>
      </c>
      <c r="F8" s="4">
        <f>22399.234-F9</f>
        <v>2285.6440000000002</v>
      </c>
      <c r="G8" s="5">
        <f>G11-G9-G10</f>
        <v>40.977999999999994</v>
      </c>
      <c r="H8" s="5">
        <v>6.4359999999999999</v>
      </c>
      <c r="I8" s="5">
        <v>0.218</v>
      </c>
      <c r="J8" s="5">
        <v>30.972000000000001</v>
      </c>
      <c r="K8" s="5">
        <f>G8-H8-I8-J8</f>
        <v>3.3519999999999897</v>
      </c>
    </row>
    <row r="9" spans="1:13" ht="63.75" customHeight="1">
      <c r="A9" s="6" t="s">
        <v>11</v>
      </c>
      <c r="B9" s="4">
        <f>C9+D9+E9+F9</f>
        <v>20113.59</v>
      </c>
      <c r="C9" s="4"/>
      <c r="D9" s="4"/>
      <c r="E9" s="4"/>
      <c r="F9" s="4">
        <v>20113.59</v>
      </c>
      <c r="G9" s="5">
        <f>H9+I9+J9+K9</f>
        <v>38.929000000000002</v>
      </c>
      <c r="H9" s="5"/>
      <c r="I9" s="5"/>
      <c r="J9" s="5"/>
      <c r="K9" s="5">
        <f>0.063+38.866</f>
        <v>38.929000000000002</v>
      </c>
    </row>
    <row r="10" spans="1:13" ht="63.75" customHeight="1">
      <c r="A10" s="6" t="s">
        <v>12</v>
      </c>
      <c r="B10" s="4">
        <f>C10+D10+E10+F10</f>
        <v>5491.6819999999998</v>
      </c>
      <c r="C10" s="4">
        <v>139.30099999999999</v>
      </c>
      <c r="D10" s="4">
        <v>258.005</v>
      </c>
      <c r="E10" s="4">
        <f>2565.516+1.52</f>
        <v>2567.0360000000001</v>
      </c>
      <c r="F10" s="4">
        <f>2504.477+22.863</f>
        <v>2527.3399999999997</v>
      </c>
      <c r="G10" s="5">
        <v>10.297000000000001</v>
      </c>
      <c r="H10" s="5">
        <v>0.26200000000000001</v>
      </c>
      <c r="I10" s="5">
        <v>0.48599999999999999</v>
      </c>
      <c r="J10" s="5">
        <v>4.8319999999999999</v>
      </c>
      <c r="K10" s="5">
        <f>G10-H10-I10-J10</f>
        <v>4.7169999999999996</v>
      </c>
    </row>
    <row r="11" spans="1:13" ht="34.5" customHeight="1">
      <c r="A11" s="7" t="s">
        <v>13</v>
      </c>
      <c r="B11" s="4">
        <v>47660.447</v>
      </c>
      <c r="C11" s="4">
        <f>C8+C10</f>
        <v>4776.1220000000003</v>
      </c>
      <c r="D11" s="4">
        <f t="shared" ref="D11:E11" si="0">D8+D10</f>
        <v>376.14499999999998</v>
      </c>
      <c r="E11" s="4">
        <f t="shared" si="0"/>
        <v>17581.606</v>
      </c>
      <c r="F11" s="4">
        <f>F8+F9+F10</f>
        <v>24926.574000000001</v>
      </c>
      <c r="G11" s="5">
        <v>90.203999999999994</v>
      </c>
      <c r="H11" s="5">
        <f>H8+H10</f>
        <v>6.6980000000000004</v>
      </c>
      <c r="I11" s="5">
        <f t="shared" ref="I11:J11" si="1">I8+I10</f>
        <v>0.70399999999999996</v>
      </c>
      <c r="J11" s="5">
        <f t="shared" si="1"/>
        <v>35.804000000000002</v>
      </c>
      <c r="K11" s="5">
        <f>K8+K9+K10</f>
        <v>46.99799999999999</v>
      </c>
      <c r="M11" s="8"/>
    </row>
    <row r="13" spans="1:13">
      <c r="B13" s="10"/>
      <c r="G13" s="10"/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2:M13"/>
  <sheetViews>
    <sheetView workbookViewId="0">
      <selection sqref="A1:XFD1048576"/>
    </sheetView>
  </sheetViews>
  <sheetFormatPr defaultColWidth="16.28515625" defaultRowHeight="15.75"/>
  <cols>
    <col min="1" max="1" width="22.42578125" style="9" bestFit="1" customWidth="1"/>
    <col min="2" max="2" width="11.28515625" style="1" bestFit="1" customWidth="1"/>
    <col min="3" max="3" width="10.28515625" style="1" customWidth="1"/>
    <col min="4" max="4" width="12" style="1" customWidth="1"/>
    <col min="5" max="5" width="13.28515625" style="9" customWidth="1"/>
    <col min="6" max="6" width="11.28515625" style="1" customWidth="1"/>
    <col min="7" max="7" width="11.140625" style="1" customWidth="1"/>
    <col min="8" max="8" width="7.7109375" style="1" customWidth="1"/>
    <col min="9" max="9" width="9.7109375" style="1" customWidth="1"/>
    <col min="10" max="10" width="10.140625" style="1" customWidth="1"/>
    <col min="11" max="11" width="10.7109375" style="1" customWidth="1"/>
    <col min="12" max="16384" width="16.28515625" style="1"/>
  </cols>
  <sheetData>
    <row r="2" spans="1:13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3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3">
      <c r="A4" s="11" t="s">
        <v>18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6" spans="1:13">
      <c r="A6" s="12" t="s">
        <v>2</v>
      </c>
      <c r="B6" s="14" t="s">
        <v>3</v>
      </c>
      <c r="C6" s="14"/>
      <c r="D6" s="14"/>
      <c r="E6" s="14"/>
      <c r="F6" s="14"/>
      <c r="G6" s="14" t="s">
        <v>4</v>
      </c>
      <c r="H6" s="14"/>
      <c r="I6" s="14"/>
      <c r="J6" s="14"/>
      <c r="K6" s="14"/>
    </row>
    <row r="7" spans="1:13">
      <c r="A7" s="13"/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  <c r="G7" s="2" t="s">
        <v>5</v>
      </c>
      <c r="H7" s="2" t="s">
        <v>6</v>
      </c>
      <c r="I7" s="2" t="s">
        <v>7</v>
      </c>
      <c r="J7" s="2" t="s">
        <v>8</v>
      </c>
      <c r="K7" s="2" t="s">
        <v>9</v>
      </c>
    </row>
    <row r="8" spans="1:13" ht="36.75" customHeight="1">
      <c r="A8" s="3" t="s">
        <v>10</v>
      </c>
      <c r="B8" s="4">
        <f>B11-B9-B10</f>
        <v>21836.832000000002</v>
      </c>
      <c r="C8" s="4">
        <v>5023.1869999999999</v>
      </c>
      <c r="D8" s="4">
        <v>91.71</v>
      </c>
      <c r="E8" s="4">
        <v>14574.378000000001</v>
      </c>
      <c r="F8" s="4">
        <f>22030.183-F9</f>
        <v>2147.5570000000007</v>
      </c>
      <c r="G8" s="5">
        <f>G11-G9-G10</f>
        <v>41.565999999999995</v>
      </c>
      <c r="H8" s="5">
        <v>6.9649999999999999</v>
      </c>
      <c r="I8" s="5">
        <v>0.24399999999999999</v>
      </c>
      <c r="J8" s="5">
        <v>31.291</v>
      </c>
      <c r="K8" s="5">
        <f>G8-H8-I8-J8</f>
        <v>3.0659999999999989</v>
      </c>
    </row>
    <row r="9" spans="1:13" ht="63.75" customHeight="1">
      <c r="A9" s="6" t="s">
        <v>11</v>
      </c>
      <c r="B9" s="4">
        <f>C9+D9+E9+F9</f>
        <v>19882.626</v>
      </c>
      <c r="C9" s="4"/>
      <c r="D9" s="4"/>
      <c r="E9" s="4"/>
      <c r="F9" s="4">
        <v>19882.626</v>
      </c>
      <c r="G9" s="5">
        <f>H9+I9+J9+K9</f>
        <v>38.484000000000002</v>
      </c>
      <c r="H9" s="5"/>
      <c r="I9" s="5"/>
      <c r="J9" s="5"/>
      <c r="K9" s="5">
        <f>0.042+38.442</f>
        <v>38.484000000000002</v>
      </c>
    </row>
    <row r="10" spans="1:13" ht="63.75" customHeight="1">
      <c r="A10" s="6" t="s">
        <v>12</v>
      </c>
      <c r="B10" s="4">
        <f>C10+D10+E10+F10</f>
        <v>5337.018</v>
      </c>
      <c r="C10" s="4">
        <v>137.54499999999999</v>
      </c>
      <c r="D10" s="4">
        <v>254.75299999999999</v>
      </c>
      <c r="E10" s="4">
        <f>2507.278+0.391</f>
        <v>2507.6689999999999</v>
      </c>
      <c r="F10" s="4">
        <f>2431.166+5.885</f>
        <v>2437.0510000000004</v>
      </c>
      <c r="G10" s="5">
        <v>10.018000000000001</v>
      </c>
      <c r="H10" s="5">
        <v>0.25800000000000001</v>
      </c>
      <c r="I10" s="5">
        <v>0.47799999999999998</v>
      </c>
      <c r="J10" s="5">
        <v>4.702</v>
      </c>
      <c r="K10" s="5">
        <f>G10-H10-I10-J10</f>
        <v>4.5800000000000018</v>
      </c>
    </row>
    <row r="11" spans="1:13" ht="34.5" customHeight="1">
      <c r="A11" s="7" t="s">
        <v>13</v>
      </c>
      <c r="B11" s="4">
        <v>47056.476000000002</v>
      </c>
      <c r="C11" s="4">
        <f>C8+C10</f>
        <v>5160.732</v>
      </c>
      <c r="D11" s="4">
        <f t="shared" ref="D11:E11" si="0">D8+D10</f>
        <v>346.46299999999997</v>
      </c>
      <c r="E11" s="4">
        <f t="shared" si="0"/>
        <v>17082.046999999999</v>
      </c>
      <c r="F11" s="4">
        <f>F8+F9+F10</f>
        <v>24467.234</v>
      </c>
      <c r="G11" s="5">
        <v>90.067999999999998</v>
      </c>
      <c r="H11" s="5">
        <f>H8+H10</f>
        <v>7.2229999999999999</v>
      </c>
      <c r="I11" s="5">
        <f t="shared" ref="I11:J11" si="1">I8+I10</f>
        <v>0.72199999999999998</v>
      </c>
      <c r="J11" s="5">
        <f t="shared" si="1"/>
        <v>35.993000000000002</v>
      </c>
      <c r="K11" s="5">
        <f>K8+K9+K10</f>
        <v>46.129999999999995</v>
      </c>
      <c r="M11" s="8"/>
    </row>
    <row r="13" spans="1:13">
      <c r="B13" s="10"/>
      <c r="G13" s="10"/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2:M13"/>
  <sheetViews>
    <sheetView workbookViewId="0">
      <selection sqref="A1:XFD1048576"/>
    </sheetView>
  </sheetViews>
  <sheetFormatPr defaultColWidth="16.28515625" defaultRowHeight="15.75"/>
  <cols>
    <col min="1" max="1" width="22.42578125" style="9" bestFit="1" customWidth="1"/>
    <col min="2" max="2" width="11.28515625" style="1" bestFit="1" customWidth="1"/>
    <col min="3" max="3" width="10.28515625" style="1" customWidth="1"/>
    <col min="4" max="4" width="12" style="1" customWidth="1"/>
    <col min="5" max="5" width="13.28515625" style="9" customWidth="1"/>
    <col min="6" max="6" width="11.28515625" style="1" customWidth="1"/>
    <col min="7" max="7" width="11.140625" style="1" customWidth="1"/>
    <col min="8" max="8" width="7.7109375" style="1" customWidth="1"/>
    <col min="9" max="9" width="9.7109375" style="1" customWidth="1"/>
    <col min="10" max="10" width="10.140625" style="1" customWidth="1"/>
    <col min="11" max="11" width="10.7109375" style="1" customWidth="1"/>
    <col min="12" max="16384" width="16.28515625" style="1"/>
  </cols>
  <sheetData>
    <row r="2" spans="1:13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3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3">
      <c r="A4" s="11" t="s">
        <v>19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6" spans="1:13">
      <c r="A6" s="12" t="s">
        <v>2</v>
      </c>
      <c r="B6" s="14" t="s">
        <v>3</v>
      </c>
      <c r="C6" s="14"/>
      <c r="D6" s="14"/>
      <c r="E6" s="14"/>
      <c r="F6" s="14"/>
      <c r="G6" s="14" t="s">
        <v>4</v>
      </c>
      <c r="H6" s="14"/>
      <c r="I6" s="14"/>
      <c r="J6" s="14"/>
      <c r="K6" s="14"/>
    </row>
    <row r="7" spans="1:13">
      <c r="A7" s="13"/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  <c r="G7" s="2" t="s">
        <v>5</v>
      </c>
      <c r="H7" s="2" t="s">
        <v>6</v>
      </c>
      <c r="I7" s="2" t="s">
        <v>7</v>
      </c>
      <c r="J7" s="2" t="s">
        <v>8</v>
      </c>
      <c r="K7" s="2" t="s">
        <v>9</v>
      </c>
    </row>
    <row r="8" spans="1:13" ht="36.75" customHeight="1">
      <c r="A8" s="3" t="s">
        <v>10</v>
      </c>
      <c r="B8" s="4">
        <f>B11-B9-B10</f>
        <v>21801.040000000001</v>
      </c>
      <c r="C8" s="4">
        <v>5200.9960000000001</v>
      </c>
      <c r="D8" s="4">
        <v>113.52</v>
      </c>
      <c r="E8" s="4">
        <v>14157.249</v>
      </c>
      <c r="F8" s="4">
        <f>21264.288-F9</f>
        <v>2329.2750000000015</v>
      </c>
      <c r="G8" s="5">
        <f>G11-G9-G10</f>
        <v>40.928999999999995</v>
      </c>
      <c r="H8" s="5">
        <v>7.4</v>
      </c>
      <c r="I8" s="5">
        <v>0.44600000000000001</v>
      </c>
      <c r="J8" s="5">
        <v>29.829000000000001</v>
      </c>
      <c r="K8" s="5">
        <f>G8-H8-I8-J8</f>
        <v>3.2539999999999978</v>
      </c>
    </row>
    <row r="9" spans="1:13" ht="63.75" customHeight="1">
      <c r="A9" s="6" t="s">
        <v>11</v>
      </c>
      <c r="B9" s="4">
        <f>C9+D9+E9+F9</f>
        <v>18935.012999999999</v>
      </c>
      <c r="C9" s="4"/>
      <c r="D9" s="4"/>
      <c r="E9" s="4"/>
      <c r="F9" s="4">
        <v>18935.012999999999</v>
      </c>
      <c r="G9" s="5">
        <f>H9+I9+J9+K9</f>
        <v>36.65</v>
      </c>
      <c r="H9" s="5"/>
      <c r="I9" s="5"/>
      <c r="J9" s="5"/>
      <c r="K9" s="5">
        <f>0.034+36.616</f>
        <v>36.65</v>
      </c>
    </row>
    <row r="10" spans="1:13" ht="63.75" customHeight="1">
      <c r="A10" s="6" t="s">
        <v>12</v>
      </c>
      <c r="B10" s="4">
        <f>C10+D10+E10+F10</f>
        <v>5040.8999999999996</v>
      </c>
      <c r="C10" s="4">
        <v>133.60300000000001</v>
      </c>
      <c r="D10" s="4">
        <v>247.45099999999999</v>
      </c>
      <c r="E10" s="4">
        <f>2414.051+0.378</f>
        <v>2414.4290000000001</v>
      </c>
      <c r="F10" s="4">
        <f>2239.728+5.689</f>
        <v>2245.4169999999999</v>
      </c>
      <c r="G10" s="5">
        <v>9.6159999999999997</v>
      </c>
      <c r="H10" s="5">
        <v>0.255</v>
      </c>
      <c r="I10" s="5">
        <v>0.47299999999999998</v>
      </c>
      <c r="J10" s="5">
        <v>4.6109999999999998</v>
      </c>
      <c r="K10" s="5">
        <f>G10-H10-I10-J10</f>
        <v>4.2769999999999984</v>
      </c>
    </row>
    <row r="11" spans="1:13" ht="34.5" customHeight="1">
      <c r="A11" s="7" t="s">
        <v>13</v>
      </c>
      <c r="B11" s="4">
        <v>45776.953000000001</v>
      </c>
      <c r="C11" s="4">
        <f>C8+C10</f>
        <v>5334.5990000000002</v>
      </c>
      <c r="D11" s="4">
        <f t="shared" ref="D11:E11" si="0">D8+D10</f>
        <v>360.971</v>
      </c>
      <c r="E11" s="4">
        <f t="shared" si="0"/>
        <v>16571.678</v>
      </c>
      <c r="F11" s="4">
        <f>F8+F9+F10</f>
        <v>23509.705000000002</v>
      </c>
      <c r="G11" s="5">
        <v>87.194999999999993</v>
      </c>
      <c r="H11" s="5">
        <f>H8+H10</f>
        <v>7.6550000000000002</v>
      </c>
      <c r="I11" s="5">
        <f t="shared" ref="I11:J11" si="1">I8+I10</f>
        <v>0.91900000000000004</v>
      </c>
      <c r="J11" s="5">
        <f t="shared" si="1"/>
        <v>34.44</v>
      </c>
      <c r="K11" s="5">
        <f>K8+K9+K10</f>
        <v>44.180999999999997</v>
      </c>
      <c r="M11" s="8"/>
    </row>
    <row r="13" spans="1:13">
      <c r="B13" s="10"/>
      <c r="G13" s="10"/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2:M13"/>
  <sheetViews>
    <sheetView workbookViewId="0">
      <selection sqref="A1:XFD1048576"/>
    </sheetView>
  </sheetViews>
  <sheetFormatPr defaultColWidth="16.28515625" defaultRowHeight="15.75"/>
  <cols>
    <col min="1" max="1" width="22.42578125" style="9" bestFit="1" customWidth="1"/>
    <col min="2" max="2" width="11.28515625" style="1" bestFit="1" customWidth="1"/>
    <col min="3" max="3" width="10.28515625" style="1" customWidth="1"/>
    <col min="4" max="4" width="12" style="1" customWidth="1"/>
    <col min="5" max="5" width="13.28515625" style="9" customWidth="1"/>
    <col min="6" max="6" width="11.28515625" style="1" customWidth="1"/>
    <col min="7" max="7" width="11.140625" style="1" customWidth="1"/>
    <col min="8" max="8" width="7.7109375" style="1" customWidth="1"/>
    <col min="9" max="9" width="9.7109375" style="1" customWidth="1"/>
    <col min="10" max="10" width="10.140625" style="1" customWidth="1"/>
    <col min="11" max="11" width="10.7109375" style="1" customWidth="1"/>
    <col min="12" max="16384" width="16.28515625" style="1"/>
  </cols>
  <sheetData>
    <row r="2" spans="1:13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3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3">
      <c r="A4" s="11" t="s">
        <v>20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6" spans="1:13">
      <c r="A6" s="12" t="s">
        <v>2</v>
      </c>
      <c r="B6" s="14" t="s">
        <v>3</v>
      </c>
      <c r="C6" s="14"/>
      <c r="D6" s="14"/>
      <c r="E6" s="14"/>
      <c r="F6" s="14"/>
      <c r="G6" s="14" t="s">
        <v>4</v>
      </c>
      <c r="H6" s="14"/>
      <c r="I6" s="14"/>
      <c r="J6" s="14"/>
      <c r="K6" s="14"/>
    </row>
    <row r="7" spans="1:13">
      <c r="A7" s="13"/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  <c r="G7" s="2" t="s">
        <v>5</v>
      </c>
      <c r="H7" s="2" t="s">
        <v>6</v>
      </c>
      <c r="I7" s="2" t="s">
        <v>7</v>
      </c>
      <c r="J7" s="2" t="s">
        <v>8</v>
      </c>
      <c r="K7" s="2" t="s">
        <v>9</v>
      </c>
    </row>
    <row r="8" spans="1:13" ht="36.75" customHeight="1">
      <c r="A8" s="3" t="s">
        <v>10</v>
      </c>
      <c r="B8" s="4">
        <f>B11-B9-B10</f>
        <v>24476.456999999999</v>
      </c>
      <c r="C8" s="4">
        <v>5451.7569999999996</v>
      </c>
      <c r="D8" s="4">
        <v>120.08</v>
      </c>
      <c r="E8" s="4">
        <v>15933.688</v>
      </c>
      <c r="F8" s="4">
        <f>23509.698-F9</f>
        <v>2970.9320000000007</v>
      </c>
      <c r="G8" s="5">
        <f>G11-G9-G10</f>
        <v>63.312000000000005</v>
      </c>
      <c r="H8" s="5">
        <v>7.593</v>
      </c>
      <c r="I8" s="5">
        <v>0.372</v>
      </c>
      <c r="J8" s="5">
        <v>34.692</v>
      </c>
      <c r="K8" s="5">
        <f>G8-H8-I8-J8</f>
        <v>20.655000000000008</v>
      </c>
    </row>
    <row r="9" spans="1:13" ht="63.75" customHeight="1">
      <c r="A9" s="6" t="s">
        <v>11</v>
      </c>
      <c r="B9" s="4">
        <f>C9+D9+E9+F9</f>
        <v>20538.766</v>
      </c>
      <c r="C9" s="4"/>
      <c r="D9" s="4"/>
      <c r="E9" s="4"/>
      <c r="F9" s="4">
        <v>20538.766</v>
      </c>
      <c r="G9" s="5">
        <f>H9+I9+J9+K9</f>
        <v>22.776</v>
      </c>
      <c r="H9" s="5"/>
      <c r="I9" s="5"/>
      <c r="J9" s="5"/>
      <c r="K9" s="5">
        <f>0.039+22.737</f>
        <v>22.776</v>
      </c>
    </row>
    <row r="10" spans="1:13" ht="63.75" customHeight="1">
      <c r="A10" s="6" t="s">
        <v>12</v>
      </c>
      <c r="B10" s="4">
        <f>C10+D10+E10+F10</f>
        <v>5930.7269999999999</v>
      </c>
      <c r="C10" s="4">
        <v>148.95599999999999</v>
      </c>
      <c r="D10" s="4">
        <v>275.887</v>
      </c>
      <c r="E10" s="4">
        <f>2713.268+0.361</f>
        <v>2713.6289999999999</v>
      </c>
      <c r="F10" s="4">
        <f>2787.678+4.577</f>
        <v>2792.2550000000001</v>
      </c>
      <c r="G10" s="5">
        <v>11.795999999999999</v>
      </c>
      <c r="H10" s="5">
        <v>0.255</v>
      </c>
      <c r="I10" s="5">
        <v>0.47299999999999998</v>
      </c>
      <c r="J10" s="5">
        <v>4.6109999999999998</v>
      </c>
      <c r="K10" s="5">
        <f>G10-H10-I10-J10</f>
        <v>6.4569999999999981</v>
      </c>
    </row>
    <row r="11" spans="1:13" ht="34.5" customHeight="1">
      <c r="A11" s="7" t="s">
        <v>13</v>
      </c>
      <c r="B11" s="4">
        <v>50945.95</v>
      </c>
      <c r="C11" s="4">
        <f>C8+C10</f>
        <v>5600.7129999999997</v>
      </c>
      <c r="D11" s="4">
        <f t="shared" ref="D11:E11" si="0">D8+D10</f>
        <v>395.96699999999998</v>
      </c>
      <c r="E11" s="4">
        <f t="shared" si="0"/>
        <v>18647.316999999999</v>
      </c>
      <c r="F11" s="4">
        <f>F8+F9+F10</f>
        <v>26301.953000000001</v>
      </c>
      <c r="G11" s="5">
        <v>97.884</v>
      </c>
      <c r="H11" s="5">
        <f>H8+H10</f>
        <v>7.8479999999999999</v>
      </c>
      <c r="I11" s="5">
        <f t="shared" ref="I11:J11" si="1">I8+I10</f>
        <v>0.84499999999999997</v>
      </c>
      <c r="J11" s="5">
        <f t="shared" si="1"/>
        <v>39.302999999999997</v>
      </c>
      <c r="K11" s="5">
        <f>K8+K9+K10</f>
        <v>49.888000000000012</v>
      </c>
      <c r="M11" s="8"/>
    </row>
    <row r="13" spans="1:13">
      <c r="B13" s="10"/>
      <c r="G13" s="10"/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2:M13"/>
  <sheetViews>
    <sheetView workbookViewId="0">
      <selection sqref="A1:XFD1048576"/>
    </sheetView>
  </sheetViews>
  <sheetFormatPr defaultColWidth="16.28515625" defaultRowHeight="15.75"/>
  <cols>
    <col min="1" max="1" width="22.42578125" style="9" bestFit="1" customWidth="1"/>
    <col min="2" max="2" width="11.28515625" style="1" bestFit="1" customWidth="1"/>
    <col min="3" max="3" width="10.28515625" style="1" customWidth="1"/>
    <col min="4" max="4" width="12" style="1" customWidth="1"/>
    <col min="5" max="5" width="13.28515625" style="9" customWidth="1"/>
    <col min="6" max="6" width="11.28515625" style="1" customWidth="1"/>
    <col min="7" max="7" width="11.140625" style="1" customWidth="1"/>
    <col min="8" max="8" width="7.7109375" style="1" customWidth="1"/>
    <col min="9" max="9" width="9.7109375" style="1" customWidth="1"/>
    <col min="10" max="10" width="10.140625" style="1" customWidth="1"/>
    <col min="11" max="11" width="10.7109375" style="1" customWidth="1"/>
    <col min="12" max="16384" width="16.28515625" style="1"/>
  </cols>
  <sheetData>
    <row r="2" spans="1:13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3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3">
      <c r="A4" s="11" t="s">
        <v>21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6" spans="1:13">
      <c r="A6" s="12" t="s">
        <v>2</v>
      </c>
      <c r="B6" s="14" t="s">
        <v>3</v>
      </c>
      <c r="C6" s="14"/>
      <c r="D6" s="14"/>
      <c r="E6" s="14"/>
      <c r="F6" s="14"/>
      <c r="G6" s="14" t="s">
        <v>4</v>
      </c>
      <c r="H6" s="14"/>
      <c r="I6" s="14"/>
      <c r="J6" s="14"/>
      <c r="K6" s="14"/>
    </row>
    <row r="7" spans="1:13">
      <c r="A7" s="13"/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  <c r="G7" s="2" t="s">
        <v>5</v>
      </c>
      <c r="H7" s="2" t="s">
        <v>6</v>
      </c>
      <c r="I7" s="2" t="s">
        <v>7</v>
      </c>
      <c r="J7" s="2" t="s">
        <v>8</v>
      </c>
      <c r="K7" s="2" t="s">
        <v>9</v>
      </c>
    </row>
    <row r="8" spans="1:13" ht="36.75" customHeight="1">
      <c r="A8" s="3" t="s">
        <v>10</v>
      </c>
      <c r="B8" s="4">
        <f>B11-B9-B10</f>
        <v>27274.589000000004</v>
      </c>
      <c r="C8" s="4">
        <v>5605.47</v>
      </c>
      <c r="D8" s="4">
        <v>147.38999999999999</v>
      </c>
      <c r="E8" s="4">
        <v>17934.206999999999</v>
      </c>
      <c r="F8" s="4">
        <f>27222.986-F9</f>
        <v>3587.5220000000008</v>
      </c>
      <c r="G8" s="5">
        <f>G11-G9-G10</f>
        <v>52.499000000000002</v>
      </c>
      <c r="H8" s="5">
        <v>7.8440000000000003</v>
      </c>
      <c r="I8" s="5">
        <v>0.47</v>
      </c>
      <c r="J8" s="5">
        <v>40.262999999999998</v>
      </c>
      <c r="K8" s="5">
        <f>G8-H8-I8-J8</f>
        <v>3.9220000000000041</v>
      </c>
    </row>
    <row r="9" spans="1:13" ht="63.75" customHeight="1">
      <c r="A9" s="6" t="s">
        <v>11</v>
      </c>
      <c r="B9" s="4">
        <f>C9+D9+E9+F9</f>
        <v>23635.464</v>
      </c>
      <c r="C9" s="4"/>
      <c r="D9" s="4"/>
      <c r="E9" s="4"/>
      <c r="F9" s="4">
        <v>23635.464</v>
      </c>
      <c r="G9" s="5">
        <f>H9+I9+J9+K9</f>
        <v>45.747</v>
      </c>
      <c r="H9" s="5"/>
      <c r="I9" s="5"/>
      <c r="J9" s="5"/>
      <c r="K9" s="5">
        <f>0.059+45.688</f>
        <v>45.747</v>
      </c>
    </row>
    <row r="10" spans="1:13" ht="63.75" customHeight="1">
      <c r="A10" s="6" t="s">
        <v>12</v>
      </c>
      <c r="B10" s="4">
        <f>C10+D10+E10+F10</f>
        <v>6309.2999999999993</v>
      </c>
      <c r="C10" s="4">
        <v>167.67500000000001</v>
      </c>
      <c r="D10" s="4">
        <v>310.55700000000002</v>
      </c>
      <c r="E10" s="4">
        <f>3086.272+0.739</f>
        <v>3087.011</v>
      </c>
      <c r="F10" s="4">
        <f>2734.013+10.044</f>
        <v>2744.0569999999998</v>
      </c>
      <c r="G10" s="5">
        <v>11.795999999999999</v>
      </c>
      <c r="H10" s="5">
        <v>0.312</v>
      </c>
      <c r="I10" s="5">
        <v>0.57699999999999996</v>
      </c>
      <c r="J10" s="5">
        <v>0.5736</v>
      </c>
      <c r="K10" s="5">
        <v>5.0819999999999999</v>
      </c>
    </row>
    <row r="11" spans="1:13" ht="34.5" customHeight="1">
      <c r="A11" s="7" t="s">
        <v>13</v>
      </c>
      <c r="B11" s="4">
        <v>57219.353000000003</v>
      </c>
      <c r="C11" s="4">
        <f>C8+C10</f>
        <v>5773.1450000000004</v>
      </c>
      <c r="D11" s="4">
        <f t="shared" ref="D11:E11" si="0">D8+D10</f>
        <v>457.947</v>
      </c>
      <c r="E11" s="4">
        <f t="shared" si="0"/>
        <v>21021.217999999997</v>
      </c>
      <c r="F11" s="4">
        <f>F8+F9+F10</f>
        <v>29967.043000000001</v>
      </c>
      <c r="G11" s="5">
        <v>110.042</v>
      </c>
      <c r="H11" s="5">
        <f>H8+H10</f>
        <v>8.1560000000000006</v>
      </c>
      <c r="I11" s="5">
        <f t="shared" ref="I11:J11" si="1">I8+I10</f>
        <v>1.0469999999999999</v>
      </c>
      <c r="J11" s="5">
        <f t="shared" si="1"/>
        <v>40.836599999999997</v>
      </c>
      <c r="K11" s="5">
        <f>K8+K9+K10</f>
        <v>54.751000000000005</v>
      </c>
      <c r="M11" s="8"/>
    </row>
    <row r="13" spans="1:13">
      <c r="B13" s="10"/>
      <c r="G13" s="10"/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2:M13"/>
  <sheetViews>
    <sheetView workbookViewId="0">
      <selection sqref="A1:XFD1048576"/>
    </sheetView>
  </sheetViews>
  <sheetFormatPr defaultColWidth="16.28515625" defaultRowHeight="15.75"/>
  <cols>
    <col min="1" max="1" width="22.42578125" style="9" bestFit="1" customWidth="1"/>
    <col min="2" max="2" width="11.28515625" style="1" bestFit="1" customWidth="1"/>
    <col min="3" max="3" width="10.28515625" style="1" customWidth="1"/>
    <col min="4" max="4" width="12" style="1" customWidth="1"/>
    <col min="5" max="5" width="13.28515625" style="9" customWidth="1"/>
    <col min="6" max="6" width="11.28515625" style="1" customWidth="1"/>
    <col min="7" max="7" width="11.140625" style="1" customWidth="1"/>
    <col min="8" max="8" width="7.7109375" style="1" customWidth="1"/>
    <col min="9" max="9" width="9.7109375" style="1" customWidth="1"/>
    <col min="10" max="10" width="10.140625" style="1" customWidth="1"/>
    <col min="11" max="11" width="10.7109375" style="1" customWidth="1"/>
    <col min="12" max="16384" width="16.28515625" style="1"/>
  </cols>
  <sheetData>
    <row r="2" spans="1:13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3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3">
      <c r="A4" s="11" t="s">
        <v>22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6" spans="1:13">
      <c r="A6" s="12" t="s">
        <v>2</v>
      </c>
      <c r="B6" s="14" t="s">
        <v>3</v>
      </c>
      <c r="C6" s="14"/>
      <c r="D6" s="14"/>
      <c r="E6" s="14"/>
      <c r="F6" s="14"/>
      <c r="G6" s="14" t="s">
        <v>4</v>
      </c>
      <c r="H6" s="14"/>
      <c r="I6" s="14"/>
      <c r="J6" s="14"/>
      <c r="K6" s="14"/>
    </row>
    <row r="7" spans="1:13">
      <c r="A7" s="13"/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  <c r="G7" s="2" t="s">
        <v>5</v>
      </c>
      <c r="H7" s="2" t="s">
        <v>6</v>
      </c>
      <c r="I7" s="2" t="s">
        <v>7</v>
      </c>
      <c r="J7" s="2" t="s">
        <v>8</v>
      </c>
      <c r="K7" s="2" t="s">
        <v>9</v>
      </c>
    </row>
    <row r="8" spans="1:13" ht="36.75" customHeight="1">
      <c r="A8" s="3" t="s">
        <v>10</v>
      </c>
      <c r="B8" s="4">
        <f>B11-B9-B10</f>
        <v>22649.216000000004</v>
      </c>
      <c r="C8" s="4">
        <v>5072.2780000000002</v>
      </c>
      <c r="D8" s="4">
        <v>85.26</v>
      </c>
      <c r="E8" s="4">
        <v>14822.531999999999</v>
      </c>
      <c r="F8" s="4">
        <f>21591.255-F9</f>
        <v>2669.1460000000006</v>
      </c>
      <c r="G8" s="5">
        <f>G11-G9-G10</f>
        <v>43.14500000000001</v>
      </c>
      <c r="H8" s="5">
        <v>7.04</v>
      </c>
      <c r="I8" s="5">
        <v>0.151</v>
      </c>
      <c r="J8" s="5">
        <v>32.585000000000001</v>
      </c>
      <c r="K8" s="5">
        <f>G8-H8-I8-J8</f>
        <v>3.3690000000000069</v>
      </c>
    </row>
    <row r="9" spans="1:13" ht="63.75" customHeight="1">
      <c r="A9" s="6" t="s">
        <v>11</v>
      </c>
      <c r="B9" s="4">
        <f>C9+D9+E9+F9</f>
        <v>18922.109</v>
      </c>
      <c r="C9" s="4"/>
      <c r="D9" s="4"/>
      <c r="E9" s="4"/>
      <c r="F9" s="4">
        <v>18922.109</v>
      </c>
      <c r="G9" s="5">
        <f>H9+I9+J9+K9</f>
        <v>36.623999999999995</v>
      </c>
      <c r="H9" s="5"/>
      <c r="I9" s="5"/>
      <c r="J9" s="5"/>
      <c r="K9" s="5">
        <f>0.041+36.583</f>
        <v>36.623999999999995</v>
      </c>
    </row>
    <row r="10" spans="1:13" ht="63.75" customHeight="1">
      <c r="A10" s="6" t="s">
        <v>12</v>
      </c>
      <c r="B10" s="4">
        <f>C10+D10+E10+F10</f>
        <v>4575.6169999999993</v>
      </c>
      <c r="C10" s="4">
        <v>134.80500000000001</v>
      </c>
      <c r="D10" s="4">
        <v>249.67699999999999</v>
      </c>
      <c r="E10" s="4">
        <f>2448.399+1.124</f>
        <v>2449.5229999999997</v>
      </c>
      <c r="F10" s="4">
        <f>1727.502+14.11</f>
        <v>1741.6119999999999</v>
      </c>
      <c r="G10" s="5">
        <v>8.7799999999999994</v>
      </c>
      <c r="H10" s="5">
        <v>0.26</v>
      </c>
      <c r="I10" s="5">
        <v>0.48099999999999998</v>
      </c>
      <c r="J10" s="5">
        <v>4.7140000000000004</v>
      </c>
      <c r="K10" s="5">
        <f>G10-H10-I10-J10</f>
        <v>3.3249999999999993</v>
      </c>
    </row>
    <row r="11" spans="1:13" ht="34.5" customHeight="1">
      <c r="A11" s="7" t="s">
        <v>13</v>
      </c>
      <c r="B11" s="4">
        <v>46146.942000000003</v>
      </c>
      <c r="C11" s="4">
        <f>C8+C10</f>
        <v>5207.0830000000005</v>
      </c>
      <c r="D11" s="4">
        <f t="shared" ref="D11:E11" si="0">D8+D10</f>
        <v>334.93700000000001</v>
      </c>
      <c r="E11" s="4">
        <f t="shared" si="0"/>
        <v>17272.055</v>
      </c>
      <c r="F11" s="4">
        <f>F8+F9+F10</f>
        <v>23332.867000000002</v>
      </c>
      <c r="G11" s="5">
        <v>88.549000000000007</v>
      </c>
      <c r="H11" s="5">
        <f>H8+H10</f>
        <v>7.3</v>
      </c>
      <c r="I11" s="5">
        <f t="shared" ref="I11:J11" si="1">I8+I10</f>
        <v>0.63200000000000001</v>
      </c>
      <c r="J11" s="5">
        <f t="shared" si="1"/>
        <v>37.298999999999999</v>
      </c>
      <c r="K11" s="5">
        <f>K8+K9+K10</f>
        <v>43.317999999999998</v>
      </c>
      <c r="M11" s="8"/>
    </row>
    <row r="13" spans="1:13">
      <c r="B13" s="10"/>
      <c r="G13" s="10"/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январь 2023 г.</vt:lpstr>
      <vt:lpstr>февраль 2023 г.</vt:lpstr>
      <vt:lpstr>март 2023 г.</vt:lpstr>
      <vt:lpstr>апрель 2023 г.</vt:lpstr>
      <vt:lpstr>май 2023 г.</vt:lpstr>
      <vt:lpstr>июнь 2023 г.</vt:lpstr>
      <vt:lpstr>июль 2023 г.</vt:lpstr>
      <vt:lpstr>август 2023 г.</vt:lpstr>
      <vt:lpstr>сентябрь 2023 г.</vt:lpstr>
      <vt:lpstr>октябрь 2023 г.</vt:lpstr>
      <vt:lpstr>ноябрь 2023 г</vt:lpstr>
      <vt:lpstr>декабрь 2023 г.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Мамедова Светлана В.</dc:creator>
  <cp:lastModifiedBy>Мамедова Светлана В.</cp:lastModifiedBy>
  <cp:lastPrinted>2023-02-27T06:31:36Z</cp:lastPrinted>
  <dcterms:created xsi:type="dcterms:W3CDTF">2023-02-27T06:29:53Z</dcterms:created>
  <dcterms:modified xsi:type="dcterms:W3CDTF">2024-01-28T10:48:48Z</dcterms:modified>
</cp:coreProperties>
</file>