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Проект\"/>
    </mc:Choice>
  </mc:AlternateContent>
  <xr:revisionPtr revIDLastSave="0" documentId="13_ncr:1_{1655BE97-BF81-43FF-A0CF-B179167936A0}" xr6:coauthVersionLast="47" xr6:coauthVersionMax="47" xr10:uidLastSave="{00000000-0000-0000-0000-000000000000}"/>
  <bookViews>
    <workbookView xWindow="0" yWindow="0" windowWidth="23250" windowHeight="15585" tabRatio="736" xr2:uid="{EBECE5F3-D9A7-445F-950D-7373D4A67C00}"/>
  </bookViews>
  <sheets>
    <sheet name="Общая стоимость ИП" sheetId="1" r:id="rId1"/>
    <sheet name="Стоимость ПУ 2022" sheetId="2" r:id="rId2"/>
    <sheet name="Стоимость расходов 2022" sheetId="3" r:id="rId3"/>
    <sheet name="Стоимость ПУ 2023-2024" sheetId="4" r:id="rId4"/>
    <sheet name="Стоимость расходов 2023-2024" sheetId="6" r:id="rId5"/>
  </sheets>
  <definedNames>
    <definedName name="_xlnm._FilterDatabase" localSheetId="3" hidden="1">'Стоимость ПУ 2023-2024'!$A$20:$K$63</definedName>
    <definedName name="_xlnm.Print_Area" localSheetId="0">'Общая стоимость ИП'!$A$1:$N$80</definedName>
    <definedName name="_xlnm.Print_Area" localSheetId="1">'Стоимость ПУ 2022'!$A$1:$L$52</definedName>
    <definedName name="_xlnm.Print_Area" localSheetId="3">'Стоимость ПУ 2023-2024'!$A$1:$K$76</definedName>
    <definedName name="_xlnm.Print_Area" localSheetId="2">'Стоимость расходов 2022'!$A$1:$M$65</definedName>
    <definedName name="_xlnm.Print_Area" localSheetId="4">'Стоимость расходов 2023-2024'!$A$1:$M$86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" i="1" l="1"/>
  <c r="J52" i="1"/>
  <c r="I75" i="1"/>
  <c r="J75" i="1"/>
  <c r="D6" i="1"/>
  <c r="D5" i="1"/>
  <c r="E5" i="1" s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C35" i="4"/>
  <c r="C29" i="4"/>
  <c r="J76" i="1" l="1"/>
  <c r="E6" i="1"/>
  <c r="I32" i="1"/>
  <c r="I76" i="1" s="1"/>
  <c r="J32" i="1"/>
  <c r="K38" i="3"/>
  <c r="E23" i="3"/>
  <c r="D21" i="3"/>
  <c r="E32" i="6"/>
  <c r="E33" i="6" s="1"/>
  <c r="E34" i="6" s="1"/>
  <c r="E35" i="6" s="1"/>
  <c r="E36" i="6" s="1"/>
  <c r="E37" i="6" s="1"/>
  <c r="E38" i="6" s="1"/>
  <c r="E39" i="6" s="1"/>
  <c r="E40" i="6" s="1"/>
  <c r="E41" i="6" s="1"/>
  <c r="E42" i="6" s="1"/>
  <c r="E43" i="6" s="1"/>
  <c r="E44" i="6" s="1"/>
  <c r="E45" i="6" s="1"/>
  <c r="E46" i="6" s="1"/>
  <c r="E47" i="6" s="1"/>
  <c r="E48" i="6" s="1"/>
  <c r="E51" i="6" s="1"/>
  <c r="E52" i="6" s="1"/>
  <c r="E53" i="6" l="1"/>
  <c r="E54" i="6" l="1"/>
  <c r="E55" i="6" l="1"/>
  <c r="B55" i="1"/>
  <c r="C55" i="1"/>
  <c r="D55" i="1"/>
  <c r="E55" i="1"/>
  <c r="B56" i="1"/>
  <c r="C56" i="1"/>
  <c r="D56" i="1"/>
  <c r="G56" i="1" s="1"/>
  <c r="E56" i="1"/>
  <c r="H56" i="1" s="1"/>
  <c r="B57" i="1"/>
  <c r="C57" i="1"/>
  <c r="D57" i="1"/>
  <c r="G57" i="1" s="1"/>
  <c r="E57" i="1"/>
  <c r="H57" i="1" s="1"/>
  <c r="B58" i="1"/>
  <c r="C58" i="1"/>
  <c r="D58" i="1"/>
  <c r="G58" i="1" s="1"/>
  <c r="E58" i="1"/>
  <c r="H58" i="1" s="1"/>
  <c r="B59" i="1"/>
  <c r="C59" i="1"/>
  <c r="D59" i="1"/>
  <c r="G59" i="1" s="1"/>
  <c r="E59" i="1"/>
  <c r="H59" i="1" s="1"/>
  <c r="B60" i="1"/>
  <c r="C60" i="1"/>
  <c r="D60" i="1"/>
  <c r="G60" i="1" s="1"/>
  <c r="E60" i="1"/>
  <c r="H60" i="1" s="1"/>
  <c r="B61" i="1"/>
  <c r="C61" i="1"/>
  <c r="D61" i="1"/>
  <c r="G61" i="1" s="1"/>
  <c r="E61" i="1"/>
  <c r="H61" i="1" s="1"/>
  <c r="B62" i="1"/>
  <c r="E62" i="1"/>
  <c r="H62" i="1" s="1"/>
  <c r="B63" i="1"/>
  <c r="E63" i="1"/>
  <c r="H63" i="1" s="1"/>
  <c r="B64" i="1"/>
  <c r="C64" i="1"/>
  <c r="D64" i="1"/>
  <c r="G64" i="1" s="1"/>
  <c r="E64" i="1"/>
  <c r="H64" i="1" s="1"/>
  <c r="B65" i="1"/>
  <c r="E65" i="1"/>
  <c r="H65" i="1" s="1"/>
  <c r="B66" i="1"/>
  <c r="E66" i="1"/>
  <c r="H66" i="1" s="1"/>
  <c r="B67" i="1"/>
  <c r="E67" i="1"/>
  <c r="H67" i="1" s="1"/>
  <c r="B68" i="1"/>
  <c r="E68" i="1"/>
  <c r="H68" i="1" s="1"/>
  <c r="B69" i="1"/>
  <c r="C69" i="1"/>
  <c r="D69" i="1"/>
  <c r="G69" i="1" s="1"/>
  <c r="E69" i="1"/>
  <c r="H69" i="1" s="1"/>
  <c r="B70" i="1"/>
  <c r="E70" i="1"/>
  <c r="H70" i="1" s="1"/>
  <c r="B71" i="1"/>
  <c r="C71" i="1"/>
  <c r="D71" i="1"/>
  <c r="G71" i="1" s="1"/>
  <c r="E71" i="1"/>
  <c r="H71" i="1" s="1"/>
  <c r="B72" i="1"/>
  <c r="E72" i="1"/>
  <c r="H72" i="1" s="1"/>
  <c r="B73" i="1"/>
  <c r="E73" i="1"/>
  <c r="H73" i="1" s="1"/>
  <c r="B74" i="1"/>
  <c r="E74" i="1"/>
  <c r="H74" i="1" s="1"/>
  <c r="E54" i="1"/>
  <c r="H54" i="1" s="1"/>
  <c r="D54" i="1"/>
  <c r="G54" i="1" s="1"/>
  <c r="D35" i="1"/>
  <c r="G35" i="1" s="1"/>
  <c r="E35" i="1"/>
  <c r="H35" i="1" s="1"/>
  <c r="D36" i="1"/>
  <c r="G36" i="1" s="1"/>
  <c r="E36" i="1"/>
  <c r="H36" i="1" s="1"/>
  <c r="D37" i="1"/>
  <c r="G37" i="1" s="1"/>
  <c r="E37" i="1"/>
  <c r="H37" i="1" s="1"/>
  <c r="D38" i="1"/>
  <c r="G38" i="1" s="1"/>
  <c r="E38" i="1"/>
  <c r="H38" i="1" s="1"/>
  <c r="D39" i="1"/>
  <c r="G39" i="1" s="1"/>
  <c r="E39" i="1"/>
  <c r="H39" i="1" s="1"/>
  <c r="D40" i="1"/>
  <c r="G40" i="1" s="1"/>
  <c r="E40" i="1"/>
  <c r="H40" i="1" s="1"/>
  <c r="E41" i="1"/>
  <c r="H41" i="1" s="1"/>
  <c r="D42" i="1"/>
  <c r="G42" i="1" s="1"/>
  <c r="E42" i="1"/>
  <c r="H42" i="1" s="1"/>
  <c r="D43" i="1"/>
  <c r="G43" i="1" s="1"/>
  <c r="E43" i="1"/>
  <c r="H43" i="1" s="1"/>
  <c r="D44" i="1"/>
  <c r="G44" i="1" s="1"/>
  <c r="E44" i="1"/>
  <c r="H44" i="1" s="1"/>
  <c r="D45" i="1"/>
  <c r="G45" i="1" s="1"/>
  <c r="E45" i="1"/>
  <c r="H45" i="1" s="1"/>
  <c r="F45" i="1" s="1"/>
  <c r="D46" i="1"/>
  <c r="G46" i="1" s="1"/>
  <c r="E46" i="1"/>
  <c r="H46" i="1" s="1"/>
  <c r="E47" i="1"/>
  <c r="H47" i="1" s="1"/>
  <c r="D48" i="1"/>
  <c r="G48" i="1" s="1"/>
  <c r="E48" i="1"/>
  <c r="H48" i="1" s="1"/>
  <c r="D49" i="1"/>
  <c r="G49" i="1" s="1"/>
  <c r="E49" i="1"/>
  <c r="H49" i="1" s="1"/>
  <c r="E50" i="1"/>
  <c r="H50" i="1" s="1"/>
  <c r="E51" i="1"/>
  <c r="H51" i="1" s="1"/>
  <c r="E34" i="1"/>
  <c r="H34" i="1" s="1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J49" i="6"/>
  <c r="E49" i="6"/>
  <c r="D40" i="4"/>
  <c r="H21" i="2"/>
  <c r="F21" i="2"/>
  <c r="F39" i="1" l="1"/>
  <c r="F35" i="1"/>
  <c r="F69" i="1"/>
  <c r="F64" i="1"/>
  <c r="F61" i="1"/>
  <c r="F59" i="1"/>
  <c r="F58" i="1"/>
  <c r="F57" i="1"/>
  <c r="F54" i="1"/>
  <c r="F43" i="1"/>
  <c r="H52" i="1"/>
  <c r="F49" i="1"/>
  <c r="F40" i="1"/>
  <c r="F38" i="1"/>
  <c r="F36" i="1"/>
  <c r="F71" i="1"/>
  <c r="G55" i="1"/>
  <c r="F48" i="1"/>
  <c r="F46" i="1"/>
  <c r="F44" i="1"/>
  <c r="F42" i="1"/>
  <c r="F37" i="1"/>
  <c r="F60" i="1"/>
  <c r="F56" i="1"/>
  <c r="H55" i="1"/>
  <c r="H75" i="1" s="1"/>
  <c r="E75" i="1"/>
  <c r="E56" i="6"/>
  <c r="E52" i="1"/>
  <c r="C39" i="4"/>
  <c r="C38" i="4"/>
  <c r="D50" i="1" s="1"/>
  <c r="G50" i="1" s="1"/>
  <c r="F50" i="1" s="1"/>
  <c r="H37" i="4"/>
  <c r="H36" i="4"/>
  <c r="D47" i="1"/>
  <c r="G47" i="1" s="1"/>
  <c r="F47" i="1" s="1"/>
  <c r="H34" i="4"/>
  <c r="H33" i="4"/>
  <c r="H32" i="4"/>
  <c r="H31" i="4"/>
  <c r="H30" i="4"/>
  <c r="D41" i="1"/>
  <c r="G41" i="1" s="1"/>
  <c r="F41" i="1" s="1"/>
  <c r="H28" i="4"/>
  <c r="H27" i="4"/>
  <c r="H26" i="4"/>
  <c r="H25" i="4"/>
  <c r="H24" i="4"/>
  <c r="H23" i="4"/>
  <c r="C22" i="4"/>
  <c r="D34" i="1" s="1"/>
  <c r="G34" i="1" s="1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C51" i="4"/>
  <c r="H48" i="4"/>
  <c r="H45" i="4"/>
  <c r="H44" i="4"/>
  <c r="F34" i="1" l="1"/>
  <c r="F55" i="1"/>
  <c r="H51" i="4"/>
  <c r="C63" i="1"/>
  <c r="D63" i="1"/>
  <c r="G63" i="1" s="1"/>
  <c r="F63" i="1" s="1"/>
  <c r="H39" i="4"/>
  <c r="D51" i="1"/>
  <c r="E57" i="6"/>
  <c r="C40" i="4"/>
  <c r="H35" i="4"/>
  <c r="H38" i="4"/>
  <c r="H29" i="4"/>
  <c r="H22" i="4"/>
  <c r="H43" i="4"/>
  <c r="E22" i="3"/>
  <c r="D21" i="6" s="1"/>
  <c r="H29" i="2"/>
  <c r="D52" i="1" l="1"/>
  <c r="G51" i="1"/>
  <c r="E58" i="6"/>
  <c r="H40" i="4"/>
  <c r="D22" i="6"/>
  <c r="C61" i="4"/>
  <c r="C60" i="4"/>
  <c r="F51" i="1" l="1"/>
  <c r="G52" i="1"/>
  <c r="C73" i="1"/>
  <c r="D73" i="1"/>
  <c r="G73" i="1" s="1"/>
  <c r="F73" i="1" s="1"/>
  <c r="C72" i="1"/>
  <c r="D72" i="1"/>
  <c r="G72" i="1" s="1"/>
  <c r="F72" i="1" s="1"/>
  <c r="E59" i="6"/>
  <c r="J37" i="4"/>
  <c r="C62" i="4"/>
  <c r="C58" i="4"/>
  <c r="H57" i="4"/>
  <c r="C55" i="4"/>
  <c r="J36" i="4"/>
  <c r="C56" i="4"/>
  <c r="C54" i="4"/>
  <c r="C53" i="4"/>
  <c r="C50" i="4"/>
  <c r="J22" i="4"/>
  <c r="K22" i="4"/>
  <c r="J23" i="4"/>
  <c r="K23" i="4"/>
  <c r="J24" i="4"/>
  <c r="K24" i="4"/>
  <c r="J25" i="4"/>
  <c r="K25" i="4"/>
  <c r="J26" i="4"/>
  <c r="K26" i="4"/>
  <c r="J27" i="4"/>
  <c r="K27" i="4"/>
  <c r="J28" i="4"/>
  <c r="K28" i="4"/>
  <c r="J29" i="4"/>
  <c r="K29" i="4"/>
  <c r="J30" i="4"/>
  <c r="K30" i="4"/>
  <c r="J31" i="4"/>
  <c r="K31" i="4"/>
  <c r="J32" i="4"/>
  <c r="K32" i="4"/>
  <c r="J33" i="4"/>
  <c r="K33" i="4"/>
  <c r="J34" i="4"/>
  <c r="K34" i="4"/>
  <c r="J35" i="4"/>
  <c r="K35" i="4"/>
  <c r="K36" i="4"/>
  <c r="K37" i="4"/>
  <c r="J38" i="4"/>
  <c r="K38" i="4"/>
  <c r="J39" i="4"/>
  <c r="K39" i="4"/>
  <c r="F36" i="2"/>
  <c r="C68" i="1" l="1"/>
  <c r="D68" i="1"/>
  <c r="G68" i="1" s="1"/>
  <c r="F68" i="1" s="1"/>
  <c r="H58" i="4"/>
  <c r="C70" i="1"/>
  <c r="D70" i="1"/>
  <c r="G70" i="1" s="1"/>
  <c r="F70" i="1" s="1"/>
  <c r="C66" i="1"/>
  <c r="D66" i="1"/>
  <c r="G66" i="1" s="1"/>
  <c r="F66" i="1" s="1"/>
  <c r="C62" i="1"/>
  <c r="D62" i="1"/>
  <c r="H62" i="4"/>
  <c r="C74" i="1"/>
  <c r="D74" i="1"/>
  <c r="G74" i="1" s="1"/>
  <c r="F74" i="1" s="1"/>
  <c r="C65" i="1"/>
  <c r="D65" i="1"/>
  <c r="G65" i="1" s="1"/>
  <c r="F65" i="1" s="1"/>
  <c r="H55" i="4"/>
  <c r="C67" i="1"/>
  <c r="D67" i="1"/>
  <c r="G67" i="1" s="1"/>
  <c r="F67" i="1" s="1"/>
  <c r="E60" i="6"/>
  <c r="K40" i="4"/>
  <c r="J40" i="4"/>
  <c r="H56" i="4"/>
  <c r="E31" i="1"/>
  <c r="H31" i="1" s="1"/>
  <c r="D31" i="1"/>
  <c r="G31" i="1" s="1"/>
  <c r="E30" i="1"/>
  <c r="H30" i="1" s="1"/>
  <c r="D30" i="1"/>
  <c r="G30" i="1" s="1"/>
  <c r="F30" i="1" s="1"/>
  <c r="E29" i="1"/>
  <c r="H29" i="1" s="1"/>
  <c r="D29" i="1"/>
  <c r="G29" i="1" s="1"/>
  <c r="E28" i="1"/>
  <c r="H28" i="1" s="1"/>
  <c r="D28" i="1"/>
  <c r="G28" i="1" s="1"/>
  <c r="F28" i="1" s="1"/>
  <c r="E27" i="1"/>
  <c r="H27" i="1" s="1"/>
  <c r="D27" i="1"/>
  <c r="G27" i="1" s="1"/>
  <c r="E26" i="1"/>
  <c r="H26" i="1" s="1"/>
  <c r="D26" i="1"/>
  <c r="G26" i="1" s="1"/>
  <c r="F26" i="1" s="1"/>
  <c r="E25" i="1"/>
  <c r="H25" i="1" s="1"/>
  <c r="D25" i="1"/>
  <c r="G25" i="1" s="1"/>
  <c r="E24" i="1"/>
  <c r="H24" i="1" s="1"/>
  <c r="D24" i="1"/>
  <c r="G24" i="1" s="1"/>
  <c r="F24" i="1" s="1"/>
  <c r="E23" i="1"/>
  <c r="H23" i="1" s="1"/>
  <c r="D23" i="1"/>
  <c r="G23" i="1" s="1"/>
  <c r="E22" i="1"/>
  <c r="H22" i="1" s="1"/>
  <c r="D22" i="1"/>
  <c r="G22" i="1" s="1"/>
  <c r="F22" i="1" s="1"/>
  <c r="E21" i="1"/>
  <c r="H21" i="1" s="1"/>
  <c r="D21" i="1"/>
  <c r="G21" i="1" s="1"/>
  <c r="E20" i="1"/>
  <c r="H20" i="1" s="1"/>
  <c r="D20" i="1"/>
  <c r="G20" i="1" s="1"/>
  <c r="F20" i="1" s="1"/>
  <c r="E19" i="1"/>
  <c r="H19" i="1" s="1"/>
  <c r="D19" i="1"/>
  <c r="G19" i="1" s="1"/>
  <c r="E18" i="1"/>
  <c r="H18" i="1" s="1"/>
  <c r="D18" i="1"/>
  <c r="G18" i="1" s="1"/>
  <c r="F18" i="1" s="1"/>
  <c r="E17" i="1"/>
  <c r="H17" i="1" s="1"/>
  <c r="D17" i="1"/>
  <c r="G17" i="1" s="1"/>
  <c r="E16" i="1"/>
  <c r="H16" i="1" s="1"/>
  <c r="D16" i="1"/>
  <c r="G16" i="1" s="1"/>
  <c r="F16" i="1" s="1"/>
  <c r="E15" i="1"/>
  <c r="H15" i="1" s="1"/>
  <c r="D15" i="1"/>
  <c r="G15" i="1" s="1"/>
  <c r="E14" i="1"/>
  <c r="H14" i="1" s="1"/>
  <c r="D14" i="1"/>
  <c r="G14" i="1" s="1"/>
  <c r="F14" i="1" s="1"/>
  <c r="E13" i="1"/>
  <c r="H13" i="1" s="1"/>
  <c r="D13" i="1"/>
  <c r="G13" i="1" s="1"/>
  <c r="H32" i="1" l="1"/>
  <c r="H76" i="1" s="1"/>
  <c r="F17" i="1"/>
  <c r="F19" i="1"/>
  <c r="F21" i="1"/>
  <c r="F23" i="1"/>
  <c r="F25" i="1"/>
  <c r="F27" i="1"/>
  <c r="F29" i="1"/>
  <c r="F31" i="1"/>
  <c r="G62" i="1"/>
  <c r="G32" i="1"/>
  <c r="F13" i="1"/>
  <c r="N13" i="1" s="1"/>
  <c r="F15" i="1"/>
  <c r="D75" i="1"/>
  <c r="D76" i="1" s="1"/>
  <c r="E61" i="6"/>
  <c r="D32" i="1"/>
  <c r="E32" i="1"/>
  <c r="E76" i="1" s="1"/>
  <c r="F62" i="1" l="1"/>
  <c r="G75" i="1"/>
  <c r="G76" i="1" s="1"/>
  <c r="E62" i="6"/>
  <c r="E63" i="6" l="1"/>
  <c r="D40" i="2"/>
  <c r="D41" i="2" s="1"/>
  <c r="C40" i="2"/>
  <c r="C41" i="2" s="1"/>
  <c r="L39" i="3"/>
  <c r="K39" i="3"/>
  <c r="B39" i="3"/>
  <c r="C21" i="1"/>
  <c r="B21" i="1"/>
  <c r="K29" i="2"/>
  <c r="D39" i="3" s="1"/>
  <c r="J29" i="2"/>
  <c r="C39" i="3" s="1"/>
  <c r="E38" i="3"/>
  <c r="E39" i="3" s="1"/>
  <c r="B49" i="3"/>
  <c r="B48" i="3"/>
  <c r="B47" i="3"/>
  <c r="B46" i="3"/>
  <c r="B45" i="3"/>
  <c r="B44" i="3"/>
  <c r="B43" i="3"/>
  <c r="B42" i="3"/>
  <c r="B41" i="3"/>
  <c r="B40" i="3"/>
  <c r="B38" i="3"/>
  <c r="B37" i="3"/>
  <c r="B36" i="3"/>
  <c r="B35" i="3"/>
  <c r="B34" i="3"/>
  <c r="B33" i="3"/>
  <c r="B32" i="3"/>
  <c r="B31" i="3"/>
  <c r="H28" i="2"/>
  <c r="K28" i="2"/>
  <c r="J28" i="2"/>
  <c r="E64" i="6" l="1"/>
  <c r="E65" i="6" l="1"/>
  <c r="E12" i="2"/>
  <c r="E11" i="2"/>
  <c r="E10" i="2"/>
  <c r="E8" i="2"/>
  <c r="E7" i="2"/>
  <c r="B31" i="1"/>
  <c r="B30" i="1"/>
  <c r="B29" i="1"/>
  <c r="B28" i="1"/>
  <c r="B27" i="1"/>
  <c r="B26" i="1"/>
  <c r="B25" i="1"/>
  <c r="B24" i="1"/>
  <c r="B23" i="1"/>
  <c r="B22" i="1"/>
  <c r="B20" i="1"/>
  <c r="B19" i="1"/>
  <c r="B18" i="1"/>
  <c r="B17" i="1"/>
  <c r="B16" i="1"/>
  <c r="B15" i="1"/>
  <c r="B14" i="1"/>
  <c r="B13" i="1"/>
  <c r="E15" i="6"/>
  <c r="F15" i="6"/>
  <c r="D15" i="6"/>
  <c r="E15" i="3"/>
  <c r="H39" i="3" s="1"/>
  <c r="D15" i="3"/>
  <c r="H31" i="3" s="1"/>
  <c r="C54" i="1"/>
  <c r="B54" i="1"/>
  <c r="B51" i="6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E22" i="6"/>
  <c r="F11" i="6"/>
  <c r="F7" i="6"/>
  <c r="E11" i="6"/>
  <c r="D11" i="6"/>
  <c r="E7" i="6"/>
  <c r="D7" i="6"/>
  <c r="H61" i="4"/>
  <c r="H60" i="4"/>
  <c r="H59" i="4"/>
  <c r="H54" i="4"/>
  <c r="H53" i="4"/>
  <c r="H52" i="4"/>
  <c r="H50" i="4"/>
  <c r="H49" i="4"/>
  <c r="H47" i="4"/>
  <c r="H46" i="4"/>
  <c r="H42" i="4"/>
  <c r="D63" i="4"/>
  <c r="C63" i="4"/>
  <c r="K62" i="4"/>
  <c r="D71" i="6" s="1"/>
  <c r="J62" i="4"/>
  <c r="C71" i="6" s="1"/>
  <c r="K61" i="4"/>
  <c r="D70" i="6" s="1"/>
  <c r="J61" i="4"/>
  <c r="C70" i="6" s="1"/>
  <c r="K60" i="4"/>
  <c r="D69" i="6" s="1"/>
  <c r="J60" i="4"/>
  <c r="C69" i="6" s="1"/>
  <c r="K59" i="4"/>
  <c r="D68" i="6" s="1"/>
  <c r="J59" i="4"/>
  <c r="C68" i="6" s="1"/>
  <c r="K58" i="4"/>
  <c r="D67" i="6" s="1"/>
  <c r="J58" i="4"/>
  <c r="C67" i="6" s="1"/>
  <c r="K57" i="4"/>
  <c r="D66" i="6" s="1"/>
  <c r="J57" i="4"/>
  <c r="C66" i="6" s="1"/>
  <c r="K56" i="4"/>
  <c r="D65" i="6" s="1"/>
  <c r="J56" i="4"/>
  <c r="C65" i="6" s="1"/>
  <c r="K55" i="4"/>
  <c r="D64" i="6" s="1"/>
  <c r="J55" i="4"/>
  <c r="C64" i="6" s="1"/>
  <c r="F64" i="6" s="1"/>
  <c r="K54" i="4"/>
  <c r="D63" i="6" s="1"/>
  <c r="J54" i="4"/>
  <c r="C63" i="6" s="1"/>
  <c r="K53" i="4"/>
  <c r="D62" i="6" s="1"/>
  <c r="J53" i="4"/>
  <c r="C62" i="6" s="1"/>
  <c r="F62" i="6" s="1"/>
  <c r="K52" i="4"/>
  <c r="D61" i="6" s="1"/>
  <c r="J52" i="4"/>
  <c r="C61" i="6" s="1"/>
  <c r="K51" i="4"/>
  <c r="D60" i="6" s="1"/>
  <c r="J51" i="4"/>
  <c r="C60" i="6" s="1"/>
  <c r="F60" i="6" s="1"/>
  <c r="K50" i="4"/>
  <c r="D59" i="6" s="1"/>
  <c r="J50" i="4"/>
  <c r="C59" i="6" s="1"/>
  <c r="K49" i="4"/>
  <c r="D58" i="6" s="1"/>
  <c r="J49" i="4"/>
  <c r="C58" i="6" s="1"/>
  <c r="F58" i="6" s="1"/>
  <c r="K48" i="4"/>
  <c r="D57" i="6" s="1"/>
  <c r="J48" i="4"/>
  <c r="C57" i="6" s="1"/>
  <c r="K47" i="4"/>
  <c r="D56" i="6" s="1"/>
  <c r="J47" i="4"/>
  <c r="C56" i="6" s="1"/>
  <c r="F56" i="6" s="1"/>
  <c r="K46" i="4"/>
  <c r="D55" i="6" s="1"/>
  <c r="J46" i="4"/>
  <c r="C55" i="6" s="1"/>
  <c r="K45" i="4"/>
  <c r="D54" i="6" s="1"/>
  <c r="J45" i="4"/>
  <c r="C54" i="6" s="1"/>
  <c r="F54" i="6" s="1"/>
  <c r="K44" i="4"/>
  <c r="D53" i="6" s="1"/>
  <c r="J44" i="4"/>
  <c r="C53" i="6" s="1"/>
  <c r="K43" i="4"/>
  <c r="D52" i="6" s="1"/>
  <c r="J43" i="4"/>
  <c r="C52" i="6" s="1"/>
  <c r="F52" i="6" s="1"/>
  <c r="K42" i="4"/>
  <c r="D51" i="6" s="1"/>
  <c r="J42" i="4"/>
  <c r="C51" i="6" s="1"/>
  <c r="F51" i="6" l="1"/>
  <c r="F53" i="6"/>
  <c r="F55" i="6"/>
  <c r="F57" i="6"/>
  <c r="F59" i="6"/>
  <c r="F61" i="6"/>
  <c r="F63" i="6"/>
  <c r="G64" i="6"/>
  <c r="G52" i="6"/>
  <c r="H52" i="6"/>
  <c r="G54" i="6"/>
  <c r="H54" i="6"/>
  <c r="G56" i="6"/>
  <c r="H56" i="6"/>
  <c r="G58" i="6"/>
  <c r="H58" i="6"/>
  <c r="G60" i="6"/>
  <c r="H60" i="6"/>
  <c r="G62" i="6"/>
  <c r="H62" i="6"/>
  <c r="H64" i="6"/>
  <c r="G51" i="6"/>
  <c r="H51" i="6"/>
  <c r="G53" i="6"/>
  <c r="H53" i="6"/>
  <c r="G55" i="6"/>
  <c r="H55" i="6"/>
  <c r="G57" i="6"/>
  <c r="H57" i="6"/>
  <c r="G59" i="6"/>
  <c r="H59" i="6"/>
  <c r="G61" i="6"/>
  <c r="H61" i="6"/>
  <c r="G63" i="6"/>
  <c r="H63" i="6"/>
  <c r="E66" i="6"/>
  <c r="G65" i="6"/>
  <c r="H65" i="6"/>
  <c r="F65" i="6"/>
  <c r="E29" i="2"/>
  <c r="F29" i="2"/>
  <c r="F28" i="2"/>
  <c r="E37" i="2"/>
  <c r="E28" i="2"/>
  <c r="F39" i="2"/>
  <c r="C75" i="1"/>
  <c r="E21" i="6"/>
  <c r="F22" i="6"/>
  <c r="K63" i="4"/>
  <c r="H63" i="4"/>
  <c r="J63" i="4"/>
  <c r="I51" i="6" l="1"/>
  <c r="K52" i="6"/>
  <c r="K56" i="6"/>
  <c r="K60" i="6"/>
  <c r="K64" i="6"/>
  <c r="K68" i="6"/>
  <c r="K53" i="6"/>
  <c r="K57" i="6"/>
  <c r="K61" i="6"/>
  <c r="K65" i="6"/>
  <c r="K69" i="6"/>
  <c r="K51" i="6"/>
  <c r="K55" i="6"/>
  <c r="K63" i="6"/>
  <c r="K71" i="6"/>
  <c r="K54" i="6"/>
  <c r="K58" i="6"/>
  <c r="K62" i="6"/>
  <c r="K66" i="6"/>
  <c r="K70" i="6"/>
  <c r="K59" i="6"/>
  <c r="K67" i="6"/>
  <c r="G66" i="6"/>
  <c r="F66" i="6"/>
  <c r="H66" i="6"/>
  <c r="E67" i="6"/>
  <c r="D72" i="6"/>
  <c r="I54" i="6"/>
  <c r="I62" i="6"/>
  <c r="I58" i="6"/>
  <c r="I65" i="6"/>
  <c r="I56" i="6"/>
  <c r="I63" i="6"/>
  <c r="I60" i="6"/>
  <c r="I64" i="6"/>
  <c r="I59" i="6"/>
  <c r="I55" i="6"/>
  <c r="F21" i="6"/>
  <c r="I66" i="6" l="1"/>
  <c r="L54" i="6"/>
  <c r="L58" i="6"/>
  <c r="L62" i="6"/>
  <c r="L66" i="6"/>
  <c r="L70" i="6"/>
  <c r="L61" i="6"/>
  <c r="L55" i="6"/>
  <c r="L59" i="6"/>
  <c r="M59" i="6" s="1"/>
  <c r="L63" i="6"/>
  <c r="L67" i="6"/>
  <c r="L71" i="6"/>
  <c r="L57" i="6"/>
  <c r="L69" i="6"/>
  <c r="L52" i="6"/>
  <c r="L56" i="6"/>
  <c r="L60" i="6"/>
  <c r="L64" i="6"/>
  <c r="M64" i="6" s="1"/>
  <c r="L68" i="6"/>
  <c r="L53" i="6"/>
  <c r="L65" i="6"/>
  <c r="L51" i="6"/>
  <c r="M51" i="6" s="1"/>
  <c r="F67" i="6"/>
  <c r="G67" i="6"/>
  <c r="E68" i="6"/>
  <c r="H67" i="6"/>
  <c r="I57" i="6"/>
  <c r="I61" i="6"/>
  <c r="I52" i="6"/>
  <c r="I53" i="6"/>
  <c r="C72" i="6"/>
  <c r="M58" i="6"/>
  <c r="K72" i="6"/>
  <c r="M55" i="6" l="1"/>
  <c r="M56" i="6"/>
  <c r="M62" i="6"/>
  <c r="M52" i="6"/>
  <c r="M65" i="6"/>
  <c r="M63" i="6"/>
  <c r="M54" i="6"/>
  <c r="M57" i="6"/>
  <c r="M60" i="6"/>
  <c r="L72" i="6"/>
  <c r="M66" i="6"/>
  <c r="M53" i="6"/>
  <c r="M61" i="6"/>
  <c r="E69" i="6"/>
  <c r="H68" i="6"/>
  <c r="G68" i="6"/>
  <c r="F68" i="6"/>
  <c r="I67" i="6"/>
  <c r="M75" i="1" l="1"/>
  <c r="M67" i="6"/>
  <c r="G69" i="6"/>
  <c r="F69" i="6"/>
  <c r="E70" i="6"/>
  <c r="H69" i="6"/>
  <c r="I68" i="6"/>
  <c r="K31" i="3"/>
  <c r="D47" i="6"/>
  <c r="D46" i="6"/>
  <c r="D45" i="6"/>
  <c r="D44" i="6"/>
  <c r="D43" i="6"/>
  <c r="D42" i="6"/>
  <c r="H42" i="6" s="1"/>
  <c r="D41" i="6"/>
  <c r="D40" i="6"/>
  <c r="D39" i="6"/>
  <c r="D38" i="6"/>
  <c r="D37" i="6"/>
  <c r="D36" i="6"/>
  <c r="D35" i="6"/>
  <c r="D34" i="6"/>
  <c r="D33" i="6"/>
  <c r="D32" i="6"/>
  <c r="D31" i="6"/>
  <c r="D48" i="6"/>
  <c r="I69" i="6" l="1"/>
  <c r="M68" i="6"/>
  <c r="G70" i="6"/>
  <c r="E71" i="6"/>
  <c r="H70" i="6"/>
  <c r="F70" i="6"/>
  <c r="D49" i="6"/>
  <c r="G47" i="6"/>
  <c r="H47" i="6"/>
  <c r="G48" i="6"/>
  <c r="H48" i="6"/>
  <c r="G46" i="6"/>
  <c r="H46" i="6"/>
  <c r="G38" i="6"/>
  <c r="H38" i="6"/>
  <c r="G39" i="6"/>
  <c r="H39" i="6"/>
  <c r="G40" i="6"/>
  <c r="H40" i="6"/>
  <c r="G34" i="6"/>
  <c r="H34" i="6"/>
  <c r="G35" i="6"/>
  <c r="H35" i="6"/>
  <c r="G36" i="6"/>
  <c r="H36" i="6"/>
  <c r="G33" i="6"/>
  <c r="H33" i="6"/>
  <c r="G32" i="6"/>
  <c r="H32" i="6"/>
  <c r="G45" i="6"/>
  <c r="H45" i="6"/>
  <c r="G42" i="6"/>
  <c r="G43" i="6"/>
  <c r="H43" i="6"/>
  <c r="G44" i="6"/>
  <c r="H44" i="6"/>
  <c r="G41" i="6"/>
  <c r="H41" i="6"/>
  <c r="G37" i="6"/>
  <c r="H37" i="6"/>
  <c r="G31" i="6"/>
  <c r="H31" i="6"/>
  <c r="C34" i="1"/>
  <c r="C31" i="6"/>
  <c r="C38" i="1"/>
  <c r="C35" i="6"/>
  <c r="C42" i="1"/>
  <c r="C39" i="6"/>
  <c r="C46" i="1"/>
  <c r="C43" i="6"/>
  <c r="C50" i="1"/>
  <c r="C47" i="6"/>
  <c r="C36" i="1"/>
  <c r="C33" i="6"/>
  <c r="C40" i="1"/>
  <c r="C37" i="6"/>
  <c r="C44" i="1"/>
  <c r="C41" i="6"/>
  <c r="C48" i="1"/>
  <c r="C45" i="6"/>
  <c r="C35" i="1"/>
  <c r="C32" i="6"/>
  <c r="C37" i="1"/>
  <c r="C34" i="6"/>
  <c r="C39" i="1"/>
  <c r="C36" i="6"/>
  <c r="C41" i="1"/>
  <c r="C38" i="6"/>
  <c r="C43" i="1"/>
  <c r="C40" i="6"/>
  <c r="C45" i="1"/>
  <c r="C42" i="6"/>
  <c r="C47" i="1"/>
  <c r="C44" i="6"/>
  <c r="C49" i="1"/>
  <c r="C46" i="6"/>
  <c r="C51" i="1"/>
  <c r="C48" i="6"/>
  <c r="C11" i="4"/>
  <c r="D11" i="4" s="1"/>
  <c r="E11" i="4" s="1"/>
  <c r="C10" i="4"/>
  <c r="D10" i="4" s="1"/>
  <c r="E10" i="4" s="1"/>
  <c r="C9" i="4"/>
  <c r="D9" i="4" s="1"/>
  <c r="E9" i="4" s="1"/>
  <c r="C7" i="4"/>
  <c r="C6" i="4"/>
  <c r="C31" i="1"/>
  <c r="I70" i="6" l="1"/>
  <c r="F71" i="6"/>
  <c r="G71" i="6"/>
  <c r="H71" i="6"/>
  <c r="M69" i="6"/>
  <c r="H49" i="6"/>
  <c r="G49" i="6"/>
  <c r="C49" i="6"/>
  <c r="C52" i="1"/>
  <c r="F48" i="6"/>
  <c r="I48" i="6" s="1"/>
  <c r="K48" i="6"/>
  <c r="L48" i="6"/>
  <c r="F47" i="6"/>
  <c r="I47" i="6" s="1"/>
  <c r="L47" i="6"/>
  <c r="K47" i="6"/>
  <c r="F38" i="6"/>
  <c r="K38" i="6"/>
  <c r="L38" i="6"/>
  <c r="F39" i="6"/>
  <c r="I39" i="6" s="1"/>
  <c r="K39" i="6"/>
  <c r="L39" i="6"/>
  <c r="F40" i="6"/>
  <c r="I40" i="6" s="1"/>
  <c r="K40" i="6"/>
  <c r="L40" i="6"/>
  <c r="F34" i="6"/>
  <c r="I34" i="6" s="1"/>
  <c r="K34" i="6"/>
  <c r="L34" i="6"/>
  <c r="F36" i="6"/>
  <c r="I36" i="6" s="1"/>
  <c r="K36" i="6"/>
  <c r="L36" i="6"/>
  <c r="F35" i="6"/>
  <c r="I35" i="6" s="1"/>
  <c r="K35" i="6"/>
  <c r="L35" i="6"/>
  <c r="F33" i="6"/>
  <c r="I33" i="6" s="1"/>
  <c r="L33" i="6"/>
  <c r="K33" i="6"/>
  <c r="F45" i="6"/>
  <c r="I45" i="6" s="1"/>
  <c r="K45" i="6"/>
  <c r="L45" i="6"/>
  <c r="F42" i="6"/>
  <c r="I42" i="6" s="1"/>
  <c r="K42" i="6"/>
  <c r="L42" i="6"/>
  <c r="F44" i="6"/>
  <c r="I44" i="6" s="1"/>
  <c r="K44" i="6"/>
  <c r="L44" i="6"/>
  <c r="F43" i="6"/>
  <c r="I43" i="6" s="1"/>
  <c r="K43" i="6"/>
  <c r="L43" i="6"/>
  <c r="F41" i="6"/>
  <c r="I41" i="6" s="1"/>
  <c r="K41" i="6"/>
  <c r="L41" i="6"/>
  <c r="F37" i="6"/>
  <c r="I37" i="6" s="1"/>
  <c r="K37" i="6"/>
  <c r="L37" i="6"/>
  <c r="F32" i="6"/>
  <c r="I32" i="6" s="1"/>
  <c r="K32" i="6"/>
  <c r="L32" i="6"/>
  <c r="F31" i="6"/>
  <c r="K31" i="6"/>
  <c r="L31" i="6"/>
  <c r="F46" i="6"/>
  <c r="I46" i="6" s="1"/>
  <c r="L46" i="6"/>
  <c r="K46" i="6"/>
  <c r="E8" i="4"/>
  <c r="D8" i="4"/>
  <c r="D6" i="4"/>
  <c r="D7" i="4"/>
  <c r="F24" i="4" s="1"/>
  <c r="M70" i="6" l="1"/>
  <c r="I71" i="6"/>
  <c r="L75" i="1" s="1"/>
  <c r="H72" i="6"/>
  <c r="G72" i="6"/>
  <c r="K49" i="6"/>
  <c r="I31" i="6"/>
  <c r="M31" i="6" s="1"/>
  <c r="F49" i="6"/>
  <c r="L49" i="6"/>
  <c r="I38" i="6"/>
  <c r="M48" i="6"/>
  <c r="M47" i="6"/>
  <c r="M34" i="6"/>
  <c r="M45" i="6"/>
  <c r="F29" i="4"/>
  <c r="F28" i="4"/>
  <c r="F27" i="4"/>
  <c r="F26" i="4"/>
  <c r="F25" i="4"/>
  <c r="F23" i="4"/>
  <c r="F34" i="4"/>
  <c r="F30" i="4"/>
  <c r="F22" i="4"/>
  <c r="F35" i="4"/>
  <c r="F33" i="4"/>
  <c r="F32" i="4"/>
  <c r="F31" i="4"/>
  <c r="F39" i="4"/>
  <c r="F38" i="4"/>
  <c r="F37" i="4"/>
  <c r="F36" i="4"/>
  <c r="M40" i="6"/>
  <c r="E28" i="4"/>
  <c r="E27" i="4"/>
  <c r="E26" i="4"/>
  <c r="E25" i="4"/>
  <c r="E24" i="4"/>
  <c r="E23" i="4"/>
  <c r="E32" i="4"/>
  <c r="E33" i="4"/>
  <c r="E31" i="4"/>
  <c r="E37" i="4"/>
  <c r="E34" i="4"/>
  <c r="E30" i="4"/>
  <c r="E39" i="4"/>
  <c r="E36" i="4"/>
  <c r="E38" i="4"/>
  <c r="E35" i="4"/>
  <c r="E29" i="4"/>
  <c r="E22" i="4"/>
  <c r="M46" i="6"/>
  <c r="M35" i="6"/>
  <c r="M39" i="6"/>
  <c r="M36" i="6"/>
  <c r="M41" i="6"/>
  <c r="M43" i="6"/>
  <c r="M42" i="6"/>
  <c r="M37" i="6"/>
  <c r="M33" i="6"/>
  <c r="M32" i="6"/>
  <c r="M44" i="6"/>
  <c r="E6" i="4"/>
  <c r="E7" i="4"/>
  <c r="I72" i="6" l="1"/>
  <c r="F72" i="6"/>
  <c r="M71" i="6"/>
  <c r="L52" i="1"/>
  <c r="I49" i="6"/>
  <c r="F40" i="4"/>
  <c r="G40" i="4"/>
  <c r="E40" i="4"/>
  <c r="M52" i="1"/>
  <c r="M38" i="6"/>
  <c r="I31" i="4"/>
  <c r="I36" i="4"/>
  <c r="I35" i="4"/>
  <c r="I37" i="4"/>
  <c r="I23" i="4"/>
  <c r="I27" i="4"/>
  <c r="I24" i="4"/>
  <c r="F51" i="4"/>
  <c r="F44" i="4"/>
  <c r="F48" i="4"/>
  <c r="F45" i="4"/>
  <c r="F43" i="4"/>
  <c r="F58" i="4"/>
  <c r="F57" i="4"/>
  <c r="F55" i="4"/>
  <c r="F56" i="4"/>
  <c r="F62" i="4"/>
  <c r="I29" i="4"/>
  <c r="I28" i="4"/>
  <c r="I30" i="4"/>
  <c r="I33" i="4"/>
  <c r="I25" i="4"/>
  <c r="I22" i="4"/>
  <c r="I39" i="4"/>
  <c r="E48" i="4"/>
  <c r="E44" i="4"/>
  <c r="E45" i="4"/>
  <c r="E51" i="4"/>
  <c r="E43" i="4"/>
  <c r="E57" i="4"/>
  <c r="E56" i="4"/>
  <c r="E58" i="4"/>
  <c r="E55" i="4"/>
  <c r="E62" i="4"/>
  <c r="I38" i="4"/>
  <c r="I34" i="4"/>
  <c r="I32" i="4"/>
  <c r="I26" i="4"/>
  <c r="F42" i="4"/>
  <c r="F61" i="4"/>
  <c r="F60" i="4"/>
  <c r="F59" i="4"/>
  <c r="F54" i="4"/>
  <c r="F53" i="4"/>
  <c r="F52" i="4"/>
  <c r="F50" i="4"/>
  <c r="F49" i="4"/>
  <c r="F47" i="4"/>
  <c r="F46" i="4"/>
  <c r="G63" i="4"/>
  <c r="E42" i="4"/>
  <c r="E61" i="4"/>
  <c r="E53" i="4"/>
  <c r="E50" i="4"/>
  <c r="E47" i="4"/>
  <c r="E59" i="4"/>
  <c r="E49" i="4"/>
  <c r="E46" i="4"/>
  <c r="E60" i="4"/>
  <c r="E54" i="4"/>
  <c r="E52" i="4"/>
  <c r="I52" i="4" s="1"/>
  <c r="N64" i="1" l="1"/>
  <c r="K75" i="1"/>
  <c r="M49" i="6"/>
  <c r="I40" i="4"/>
  <c r="K52" i="1"/>
  <c r="I45" i="4"/>
  <c r="I51" i="4"/>
  <c r="I56" i="4"/>
  <c r="I62" i="4"/>
  <c r="I58" i="4"/>
  <c r="I44" i="4"/>
  <c r="I43" i="4"/>
  <c r="I50" i="4"/>
  <c r="I55" i="4"/>
  <c r="I57" i="4"/>
  <c r="I48" i="4"/>
  <c r="I59" i="4"/>
  <c r="I46" i="4"/>
  <c r="I54" i="4"/>
  <c r="I49" i="4"/>
  <c r="I53" i="4"/>
  <c r="I47" i="4"/>
  <c r="I61" i="4"/>
  <c r="I60" i="4"/>
  <c r="E63" i="4"/>
  <c r="I42" i="4"/>
  <c r="F63" i="4"/>
  <c r="H39" i="2"/>
  <c r="H38" i="2"/>
  <c r="H37" i="2"/>
  <c r="H36" i="2"/>
  <c r="H35" i="2"/>
  <c r="H34" i="2"/>
  <c r="H33" i="2"/>
  <c r="H32" i="2"/>
  <c r="H31" i="2"/>
  <c r="H30" i="2"/>
  <c r="H27" i="2"/>
  <c r="H26" i="2"/>
  <c r="H25" i="2"/>
  <c r="H24" i="2"/>
  <c r="F24" i="2"/>
  <c r="N71" i="1" l="1"/>
  <c r="N62" i="1"/>
  <c r="N55" i="1"/>
  <c r="I63" i="4"/>
  <c r="N60" i="1"/>
  <c r="N65" i="1"/>
  <c r="N69" i="1"/>
  <c r="N56" i="1"/>
  <c r="N72" i="1"/>
  <c r="N61" i="1"/>
  <c r="N67" i="1"/>
  <c r="N70" i="1"/>
  <c r="N57" i="1"/>
  <c r="N73" i="1"/>
  <c r="N59" i="1"/>
  <c r="N51" i="1"/>
  <c r="N58" i="1"/>
  <c r="N63" i="1"/>
  <c r="N66" i="1"/>
  <c r="N50" i="1"/>
  <c r="N47" i="1"/>
  <c r="N40" i="1"/>
  <c r="N68" i="1"/>
  <c r="N35" i="1"/>
  <c r="N74" i="1"/>
  <c r="M72" i="6"/>
  <c r="N34" i="1"/>
  <c r="H23" i="2"/>
  <c r="F23" i="2"/>
  <c r="D9" i="2"/>
  <c r="G36" i="2" s="1"/>
  <c r="N36" i="1" l="1"/>
  <c r="N41" i="1"/>
  <c r="N45" i="1"/>
  <c r="N54" i="1"/>
  <c r="N75" i="1" s="1"/>
  <c r="F75" i="1"/>
  <c r="N37" i="1"/>
  <c r="N44" i="1"/>
  <c r="N39" i="1"/>
  <c r="N49" i="1"/>
  <c r="N48" i="1"/>
  <c r="N46" i="1"/>
  <c r="N43" i="1"/>
  <c r="N42" i="1"/>
  <c r="N38" i="1"/>
  <c r="F52" i="1"/>
  <c r="G23" i="2"/>
  <c r="C30" i="1"/>
  <c r="C29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  <c r="K39" i="2"/>
  <c r="D49" i="3" s="1"/>
  <c r="J39" i="2"/>
  <c r="K38" i="2"/>
  <c r="D48" i="3" s="1"/>
  <c r="J38" i="2"/>
  <c r="K37" i="2"/>
  <c r="D47" i="3" s="1"/>
  <c r="J37" i="2"/>
  <c r="K36" i="2"/>
  <c r="D46" i="3" s="1"/>
  <c r="J36" i="2"/>
  <c r="K35" i="2"/>
  <c r="D45" i="3" s="1"/>
  <c r="J35" i="2"/>
  <c r="K34" i="2"/>
  <c r="D44" i="3" s="1"/>
  <c r="J34" i="2"/>
  <c r="K33" i="2"/>
  <c r="D43" i="3" s="1"/>
  <c r="J33" i="2"/>
  <c r="K32" i="2"/>
  <c r="D42" i="3" s="1"/>
  <c r="J32" i="2"/>
  <c r="K31" i="2"/>
  <c r="D41" i="3" s="1"/>
  <c r="J31" i="2"/>
  <c r="K30" i="2"/>
  <c r="D40" i="3" s="1"/>
  <c r="J30" i="2"/>
  <c r="D38" i="3"/>
  <c r="K27" i="2"/>
  <c r="D37" i="3" s="1"/>
  <c r="J27" i="2"/>
  <c r="K26" i="2"/>
  <c r="D36" i="3" s="1"/>
  <c r="J26" i="2"/>
  <c r="K25" i="2"/>
  <c r="D35" i="3" s="1"/>
  <c r="J25" i="2"/>
  <c r="K24" i="2"/>
  <c r="D34" i="3" s="1"/>
  <c r="J24" i="2"/>
  <c r="K23" i="2"/>
  <c r="D33" i="3" s="1"/>
  <c r="J23" i="2"/>
  <c r="K22" i="2"/>
  <c r="D32" i="3" s="1"/>
  <c r="J22" i="2"/>
  <c r="K21" i="2"/>
  <c r="D31" i="3" s="1"/>
  <c r="J21" i="2"/>
  <c r="C31" i="3" s="1"/>
  <c r="H22" i="2"/>
  <c r="F38" i="2"/>
  <c r="F37" i="2"/>
  <c r="F35" i="2"/>
  <c r="F34" i="2"/>
  <c r="F33" i="2"/>
  <c r="F32" i="2"/>
  <c r="F31" i="2"/>
  <c r="F30" i="2"/>
  <c r="F27" i="2"/>
  <c r="F26" i="2"/>
  <c r="F25" i="2"/>
  <c r="F22" i="2"/>
  <c r="N52" i="1" l="1"/>
  <c r="K40" i="2"/>
  <c r="K43" i="2" s="1"/>
  <c r="C34" i="3"/>
  <c r="C36" i="3"/>
  <c r="C41" i="3"/>
  <c r="C43" i="3"/>
  <c r="C45" i="3"/>
  <c r="C47" i="3"/>
  <c r="C38" i="3"/>
  <c r="C49" i="3"/>
  <c r="F40" i="2"/>
  <c r="C33" i="3"/>
  <c r="C35" i="3"/>
  <c r="C37" i="3"/>
  <c r="C40" i="3"/>
  <c r="C42" i="3"/>
  <c r="C44" i="3"/>
  <c r="C46" i="3"/>
  <c r="C48" i="3"/>
  <c r="C32" i="3"/>
  <c r="J40" i="2"/>
  <c r="J43" i="2" s="1"/>
  <c r="H40" i="2"/>
  <c r="H41" i="2" s="1"/>
  <c r="H42" i="2" l="1"/>
  <c r="F41" i="2"/>
  <c r="K42" i="2"/>
  <c r="L38" i="3"/>
  <c r="D22" i="3"/>
  <c r="L32" i="3" s="1"/>
  <c r="L31" i="3"/>
  <c r="C7" i="2" l="1"/>
  <c r="E21" i="2" s="1"/>
  <c r="E22" i="2" l="1"/>
  <c r="D7" i="2"/>
  <c r="E36" i="2" s="1"/>
  <c r="K33" i="3"/>
  <c r="K32" i="3"/>
  <c r="H34" i="3"/>
  <c r="E11" i="3"/>
  <c r="G39" i="3" s="1"/>
  <c r="D11" i="3"/>
  <c r="G31" i="3" s="1"/>
  <c r="H48" i="3" l="1"/>
  <c r="H47" i="3"/>
  <c r="H33" i="3"/>
  <c r="H32" i="3"/>
  <c r="K46" i="3"/>
  <c r="K42" i="3"/>
  <c r="K37" i="3"/>
  <c r="K49" i="3"/>
  <c r="K45" i="3"/>
  <c r="K41" i="3"/>
  <c r="K36" i="3"/>
  <c r="K48" i="3"/>
  <c r="K44" i="3"/>
  <c r="K40" i="3"/>
  <c r="K35" i="3"/>
  <c r="K47" i="3"/>
  <c r="K43" i="3"/>
  <c r="H38" i="3"/>
  <c r="H43" i="3"/>
  <c r="E39" i="2"/>
  <c r="E23" i="2"/>
  <c r="I23" i="2" s="1"/>
  <c r="H36" i="3"/>
  <c r="H41" i="3"/>
  <c r="H45" i="3"/>
  <c r="H49" i="3"/>
  <c r="H37" i="3"/>
  <c r="H42" i="3"/>
  <c r="H46" i="3"/>
  <c r="H35" i="3"/>
  <c r="H40" i="3"/>
  <c r="H44" i="3"/>
  <c r="K34" i="3"/>
  <c r="E7" i="3"/>
  <c r="F39" i="3" s="1"/>
  <c r="D7" i="3"/>
  <c r="F31" i="3" s="1"/>
  <c r="I31" i="3" s="1"/>
  <c r="I39" i="3" l="1"/>
  <c r="F32" i="3"/>
  <c r="H50" i="3"/>
  <c r="L45" i="3"/>
  <c r="L48" i="3"/>
  <c r="L44" i="3"/>
  <c r="L40" i="3"/>
  <c r="L35" i="3"/>
  <c r="L47" i="3"/>
  <c r="L43" i="3"/>
  <c r="L34" i="3"/>
  <c r="L46" i="3"/>
  <c r="L42" i="3"/>
  <c r="L37" i="3"/>
  <c r="L49" i="3"/>
  <c r="L41" i="3"/>
  <c r="L36" i="3"/>
  <c r="M39" i="3" l="1"/>
  <c r="L33" i="3"/>
  <c r="M31" i="3" l="1"/>
  <c r="E38" i="2" l="1"/>
  <c r="E33" i="2"/>
  <c r="E24" i="2"/>
  <c r="E34" i="2"/>
  <c r="E30" i="2"/>
  <c r="E25" i="2"/>
  <c r="E32" i="2"/>
  <c r="E27" i="2"/>
  <c r="E35" i="2"/>
  <c r="E31" i="2"/>
  <c r="E26" i="2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I35" i="3" l="1"/>
  <c r="M35" i="3" s="1"/>
  <c r="I32" i="3"/>
  <c r="E40" i="2"/>
  <c r="J41" i="2"/>
  <c r="J42" i="2"/>
  <c r="I34" i="3"/>
  <c r="M34" i="3" s="1"/>
  <c r="I38" i="3"/>
  <c r="M38" i="3" s="1"/>
  <c r="I45" i="3"/>
  <c r="M45" i="3" s="1"/>
  <c r="I37" i="3"/>
  <c r="M37" i="3" s="1"/>
  <c r="I40" i="3"/>
  <c r="M40" i="3" s="1"/>
  <c r="I42" i="3"/>
  <c r="M42" i="3" s="1"/>
  <c r="I44" i="3"/>
  <c r="M44" i="3" s="1"/>
  <c r="I46" i="3"/>
  <c r="M46" i="3" s="1"/>
  <c r="I48" i="3"/>
  <c r="M48" i="3" s="1"/>
  <c r="I43" i="3"/>
  <c r="M43" i="3" s="1"/>
  <c r="I49" i="3"/>
  <c r="M49" i="3" s="1"/>
  <c r="C50" i="3"/>
  <c r="I41" i="3"/>
  <c r="M41" i="3" s="1"/>
  <c r="I47" i="3"/>
  <c r="M47" i="3" s="1"/>
  <c r="I36" i="3"/>
  <c r="M36" i="3" s="1"/>
  <c r="I33" i="3"/>
  <c r="M33" i="3" s="1"/>
  <c r="D50" i="3"/>
  <c r="E41" i="2" l="1"/>
  <c r="M32" i="3"/>
  <c r="M50" i="3" s="1"/>
  <c r="F50" i="3"/>
  <c r="E9" i="2"/>
  <c r="G28" i="2" l="1"/>
  <c r="G29" i="2"/>
  <c r="I29" i="2" s="1"/>
  <c r="C8" i="4"/>
  <c r="I28" i="2"/>
  <c r="G39" i="2"/>
  <c r="L32" i="1"/>
  <c r="L76" i="1" s="1"/>
  <c r="N15" i="1"/>
  <c r="I50" i="3"/>
  <c r="G24" i="2"/>
  <c r="G37" i="2"/>
  <c r="I37" i="2" s="1"/>
  <c r="G33" i="2"/>
  <c r="I33" i="2" s="1"/>
  <c r="G34" i="2"/>
  <c r="I34" i="2" s="1"/>
  <c r="G25" i="2"/>
  <c r="I25" i="2" s="1"/>
  <c r="I36" i="2"/>
  <c r="G32" i="2"/>
  <c r="I32" i="2" s="1"/>
  <c r="G27" i="2"/>
  <c r="I27" i="2" s="1"/>
  <c r="I39" i="2"/>
  <c r="G35" i="2"/>
  <c r="I35" i="2" s="1"/>
  <c r="G31" i="2"/>
  <c r="I31" i="2" s="1"/>
  <c r="G26" i="2"/>
  <c r="I26" i="2" s="1"/>
  <c r="G38" i="2"/>
  <c r="I38" i="2" s="1"/>
  <c r="G30" i="2"/>
  <c r="I30" i="2" s="1"/>
  <c r="C9" i="2"/>
  <c r="G21" i="2" s="1"/>
  <c r="I21" i="2" l="1"/>
  <c r="G22" i="2"/>
  <c r="I24" i="2"/>
  <c r="N26" i="1" l="1"/>
  <c r="N29" i="1"/>
  <c r="N28" i="1"/>
  <c r="N19" i="1"/>
  <c r="N27" i="1"/>
  <c r="N18" i="1"/>
  <c r="N30" i="1"/>
  <c r="N22" i="1"/>
  <c r="N21" i="1"/>
  <c r="N23" i="1"/>
  <c r="N24" i="1"/>
  <c r="N17" i="1"/>
  <c r="N25" i="1"/>
  <c r="N20" i="1"/>
  <c r="N31" i="1"/>
  <c r="I22" i="2"/>
  <c r="I40" i="2" s="1"/>
  <c r="I42" i="2" s="1"/>
  <c r="G40" i="2"/>
  <c r="G50" i="3"/>
  <c r="L50" i="3"/>
  <c r="K50" i="3"/>
  <c r="K32" i="1"/>
  <c r="K76" i="1" s="1"/>
  <c r="C32" i="1"/>
  <c r="C76" i="1" s="1"/>
  <c r="N14" i="1" l="1"/>
  <c r="N16" i="1"/>
  <c r="G42" i="2"/>
  <c r="G41" i="2"/>
  <c r="I58" i="2"/>
  <c r="I41" i="2"/>
  <c r="N32" i="1" l="1"/>
  <c r="N76" i="1" s="1"/>
  <c r="M32" i="1"/>
  <c r="M76" i="1" s="1"/>
  <c r="F32" i="1"/>
  <c r="F76" i="1" s="1"/>
</calcChain>
</file>

<file path=xl/sharedStrings.xml><?xml version="1.0" encoding="utf-8"?>
<sst xmlns="http://schemas.openxmlformats.org/spreadsheetml/2006/main" count="469" uniqueCount="253">
  <si>
    <t>№ п/п</t>
  </si>
  <si>
    <t>Наименование</t>
  </si>
  <si>
    <t>Комментарий</t>
  </si>
  <si>
    <t>Обоснование стоимости</t>
  </si>
  <si>
    <t>1.</t>
  </si>
  <si>
    <t>2.</t>
  </si>
  <si>
    <t>Мастер считывания данных (координатор) МИРТ-145 исп. 2</t>
  </si>
  <si>
    <t>Модуль питания МИРТ-212</t>
  </si>
  <si>
    <t>3.</t>
  </si>
  <si>
    <t>Адрес объекта</t>
  </si>
  <si>
    <t xml:space="preserve">Кол-во ПУ 1ф  </t>
  </si>
  <si>
    <t xml:space="preserve">Кол-во ПУ 3ф </t>
  </si>
  <si>
    <t>шт.</t>
  </si>
  <si>
    <t>руб. без НДС</t>
  </si>
  <si>
    <t xml:space="preserve">                                                                                         </t>
  </si>
  <si>
    <t>ИТОГО</t>
  </si>
  <si>
    <t>В. И. Писаренко</t>
  </si>
  <si>
    <t>Н.В. Кольцов</t>
  </si>
  <si>
    <t>4.</t>
  </si>
  <si>
    <t>5.</t>
  </si>
  <si>
    <t>Для оснащения одного многоквартирного дома необходимо:</t>
  </si>
  <si>
    <t>6.</t>
  </si>
  <si>
    <t xml:space="preserve">Стоимость индивидуального, общего (квартирного) прибора учета: однофазный счетчик, модель МИРТЕК-12-РУ-W9-A1R1-230-5-80A-ST-RF433/1-P2-HKLMOV3-D </t>
  </si>
  <si>
    <t>5.1.</t>
  </si>
  <si>
    <t>5.2.</t>
  </si>
  <si>
    <t>для установки на один прибор учета</t>
  </si>
  <si>
    <t>Таблица №2</t>
  </si>
  <si>
    <t>Стоимость номерного пломбировочного устройства</t>
  </si>
  <si>
    <t>Стоимость всего, руб</t>
  </si>
  <si>
    <t>Количество приборов учета</t>
  </si>
  <si>
    <t>Шифр расценок</t>
  </si>
  <si>
    <t>ТЕРм 08-03-600-01</t>
  </si>
  <si>
    <t>ТЕРм 08-03-600-02</t>
  </si>
  <si>
    <t>ТЕРм 08-03-600-02, k=0,3</t>
  </si>
  <si>
    <t>Монтаж однофазного прибора учета</t>
  </si>
  <si>
    <t>Демонтаж однофазного прибора учета</t>
  </si>
  <si>
    <t>Монтаж трехфазного прибора учета</t>
  </si>
  <si>
    <t>Демонтаж трехфазного прибора учета</t>
  </si>
  <si>
    <t>ТЕРм 08-03-600-01, k=0,3</t>
  </si>
  <si>
    <t>Программирование сетевого элемента и отладка его работы</t>
  </si>
  <si>
    <t>Снятие векторных диаграмм</t>
  </si>
  <si>
    <t>2.1.</t>
  </si>
  <si>
    <t>2.2.</t>
  </si>
  <si>
    <t>2.3.</t>
  </si>
  <si>
    <t>ТЕРм 11-03-001-01</t>
  </si>
  <si>
    <t>ТЕРм 10-02-016-06</t>
  </si>
  <si>
    <t>ТЕРм 10-04-015-01</t>
  </si>
  <si>
    <t>ТЕРм 10-06-068-16</t>
  </si>
  <si>
    <t>ТЕРп 01-11-026-02</t>
  </si>
  <si>
    <t>работы, осуществляемые  в отношении одного прибора учета</t>
  </si>
  <si>
    <t xml:space="preserve">Установка преобразователя или блока питания </t>
  </si>
  <si>
    <t>Территориальные сметные нормативы Ставропольского края, утвержденные приказом Министерства строительства и жилищно-коммунального хозяйства Российской Федерации от 13.03.2015 №171/пр "О внесении сметных нормативов в федеральный реестр сметных нормативов, подлежащих применению при определении сметной стоимости объектов капитального строительства, строительство которых финансируется с привлечением средств федерального бюджета"</t>
  </si>
  <si>
    <t>Договор с ООО "Мастер АСКУЭ" от 01.12.2021 №562843</t>
  </si>
  <si>
    <t>Количество однофазных приборов учета</t>
  </si>
  <si>
    <t>Количество трехфазных приборов учета</t>
  </si>
  <si>
    <t>Количество жилых помещений (однофазный прибор учета)</t>
  </si>
  <si>
    <t>Количество коллективных (общедомовых) приборов учета
(трехфазный прибор учета)</t>
  </si>
  <si>
    <t>Стоимость работ по монтажу/ демонтажу однофазных приборов учета</t>
  </si>
  <si>
    <t>Стоимость работ по монтажу/ демонтажу трехфазных приборов учета</t>
  </si>
  <si>
    <t>Стоимость монтажных работ в отношении однофазного прибора учета:</t>
  </si>
  <si>
    <t>Стоимость монтажных работ в отношении трехфазного прибора учета:</t>
  </si>
  <si>
    <t>3.1.</t>
  </si>
  <si>
    <t>3.2.</t>
  </si>
  <si>
    <t>3.3.</t>
  </si>
  <si>
    <t>Стоимость работ по организации удаленного сбора данных</t>
  </si>
  <si>
    <t>Стоимость аренды автотранспорта</t>
  </si>
  <si>
    <t>1.1.</t>
  </si>
  <si>
    <t>1.3.</t>
  </si>
  <si>
    <t>1.2.</t>
  </si>
  <si>
    <t>3.4.</t>
  </si>
  <si>
    <t xml:space="preserve">Собственные затраты </t>
  </si>
  <si>
    <t>Стоимость монтажных работ оборудования для съема показаний с общедомового прибора учета</t>
  </si>
  <si>
    <t>Общая стоимость затрат</t>
  </si>
  <si>
    <t>* 30,30% - размер страховых взносов, в т.ч. 22 % — на обязательное пенсионное страхование; 5,1 % — на обязательное медицинское страхование; 2,9 % — на обязательное социальное страхование на случай временной нетрудоспособности и в связи с материнством, 0,3% - страхование от несчастных случаев и производственных заболеваний.</t>
  </si>
  <si>
    <t>Накладные  расходы (страховые взносы)*</t>
  </si>
  <si>
    <t>Число часов использования автотранспорта</t>
  </si>
  <si>
    <t xml:space="preserve">Стоимость коллективных (общедомовых) приборов учета: трехфазный счетчик, модель МИРТЕК-32-РУ-W32-A0.5R1-230-5-10A-T-RS485-P2-HLMOQ2V3Z-D </t>
  </si>
  <si>
    <t xml:space="preserve">Антенна </t>
  </si>
  <si>
    <t>Таблица №3</t>
  </si>
  <si>
    <t>Стоимость расходов для организации интеллектуальной системы учета и предоставления доступа к функциям такой системы на 2022 год</t>
  </si>
  <si>
    <t>Исходя из вышеуказанных параметров, сметная стоимость расходов для организации интеллектуальной системы учета и предоставления доступа к функциям такой системы на 2022 год составит:</t>
  </si>
  <si>
    <t>Таблица №4</t>
  </si>
  <si>
    <t>Таблица №5</t>
  </si>
  <si>
    <t>Стоимость на 2022 год, 
руб. без НДС</t>
  </si>
  <si>
    <t>Таблица №6</t>
  </si>
  <si>
    <t>Стоимость на 2023 год*, 
руб. без НДС</t>
  </si>
  <si>
    <t>9=5+6+7+8</t>
  </si>
  <si>
    <t>10=3</t>
  </si>
  <si>
    <t>11=4</t>
  </si>
  <si>
    <t>6=3*5</t>
  </si>
  <si>
    <t>7=4*5</t>
  </si>
  <si>
    <t>9=(6+7+8)*30,30%</t>
  </si>
  <si>
    <t>8=5* п. 3 табл. №4</t>
  </si>
  <si>
    <t>11=10 * п. 6 табл. №4</t>
  </si>
  <si>
    <t>12=п. 4,5 табл. №4</t>
  </si>
  <si>
    <t>13=6+7+8+9+11+12</t>
  </si>
  <si>
    <t xml:space="preserve">Стоимость индивидуального, общего (квартирного) прибора учета для жилых помещений </t>
  </si>
  <si>
    <t xml:space="preserve">Стоимость коллективных (общедомовых) приборов учета 
</t>
  </si>
  <si>
    <t xml:space="preserve">Стоимость номерных пломбировочных устройств
</t>
  </si>
  <si>
    <t>часы</t>
  </si>
  <si>
    <t>Стоимость индивидуального, общего (квартирного) прибора учета для жилых помещений</t>
  </si>
  <si>
    <t>Стоимость на 2023 год, 
руб. без НДС</t>
  </si>
  <si>
    <t>Стоимость на 2024 год, 
руб. без НДС</t>
  </si>
  <si>
    <t>Стоимость расходов для организации интеллектуальной системы учета и предоставления доступа к функциям такой системы на 2023-2024 годы</t>
  </si>
  <si>
    <t>6=3*5*п.1 табл. 4</t>
  </si>
  <si>
    <t>7=4*5*п.2 табл. 4</t>
  </si>
  <si>
    <t>Общая стоимость расходов на 2022 год</t>
  </si>
  <si>
    <t>ИТОГО 2022 год</t>
  </si>
  <si>
    <t>ИТОГО 2023 год</t>
  </si>
  <si>
    <t>Общая стоимость расходов на 2023 год</t>
  </si>
  <si>
    <t>Общая стоимость расходов на 2024 год</t>
  </si>
  <si>
    <t>ИТОГО 2024 год</t>
  </si>
  <si>
    <t>Исходя из вышеуказанных параметров, сметная стоимость расходов для организации интеллектуальной системы учета и предоставления доступа к функциям такой системы на 2023-2024 годы составит:</t>
  </si>
  <si>
    <t>Сметная стоимость расходов на 2023 год</t>
  </si>
  <si>
    <t>ИТОГО на 2023 год</t>
  </si>
  <si>
    <t>Сметная стоимость расходов на 2024 год</t>
  </si>
  <si>
    <t>ИТОГО на 2024 год</t>
  </si>
  <si>
    <t>Стоимость приборов учета и оборудования на 2024 год</t>
  </si>
  <si>
    <t>Стоимость приборов учета и оборудования на 2023 год</t>
  </si>
  <si>
    <t>затраты на один МКД</t>
  </si>
  <si>
    <t>затраты на 1 час эксплуатации автомобиля</t>
  </si>
  <si>
    <t>оборудование на один МКД</t>
  </si>
  <si>
    <t>работы, осуществляемые  в отношении одной единицы оборудования</t>
  </si>
  <si>
    <t xml:space="preserve"> в т.ч. для жилых помещений (однофазный прибор учета)</t>
  </si>
  <si>
    <t>в т.ч. для  коллективных (общедомовых) приборов учета
(трехфазный прибор учета)</t>
  </si>
  <si>
    <t xml:space="preserve">Стоимость коллективного (общедомового) прибора учета: трехфазный счетчик, модель МИРТЕК-32-РУ-W32-A0.5R1-230-5-10A-T-RS485-P2-HLMOQ2V3Z-D </t>
  </si>
  <si>
    <t xml:space="preserve"> -</t>
  </si>
  <si>
    <t>5=3 * пп. 1 табл. №2</t>
  </si>
  <si>
    <t>6=4* п. 2 табл. №2</t>
  </si>
  <si>
    <t>7=п. 3 табл. №2</t>
  </si>
  <si>
    <t>8=(3+4) * п. 4 табл. №2</t>
  </si>
  <si>
    <t>Начальник отдела АСКУЭ</t>
  </si>
  <si>
    <t>осуществление пуско-наладочных работ системы</t>
  </si>
  <si>
    <t>Стоимость по ценам 2021 года, 
руб. без НДС</t>
  </si>
  <si>
    <t>Стоимость по ценам 2022 года, 
руб. без НДС</t>
  </si>
  <si>
    <t>Услуги сторонних организаций</t>
  </si>
  <si>
    <t>работы с учетом установки необходимого оборудования и материалов в одном МКД</t>
  </si>
  <si>
    <t>затраты на 1 час эксплуатации автотранспорта</t>
  </si>
  <si>
    <t>Стоимость индивидуальных, общих (квартирных), коллективных (общедомовых) приборов учета для целей установки/замены их в многоквартирном доме, а также оборудования для организации интеллектуальной системы учета и предоставления доступа к функциям такой системы на 2022 год</t>
  </si>
  <si>
    <t>Исходя из вышеуказанных параметров, сметная стоимость индивидуальных, общих (квартирных), коллективных (общедомовых) приборов учета для целей установки/замены их в многоквартирном доме, а также оборудования для организации интеллектуальной системы учета и предоставления доступа к функциям такой системы на 2022 год составит:</t>
  </si>
  <si>
    <t>Стоимость оборудования для организации интеллектуальной системы учета многоквартирного дома</t>
  </si>
  <si>
    <t>Индекс на заработную плату рабочих*</t>
  </si>
  <si>
    <t>*в соответствии с письмом Минстроя России от 25.10.2021 № 46012-ИФ/09</t>
  </si>
  <si>
    <t>Стоимость работ в отношении  оборудования для организации ИСУ</t>
  </si>
  <si>
    <t>Установка приборов на металлических конструкциях, щитах, пультах</t>
  </si>
  <si>
    <t>Установка ретранслятора телевизионного автоматического необслуживаемого с приемом по эфиру мощностью 1Вт</t>
  </si>
  <si>
    <t>работы с учетом наличия  на территории МКД ранее установленного необходимого оборудования и материалов</t>
  </si>
  <si>
    <t>Стоимость оборудования для организации интеллектуальной системы учета многоквартирного дома и предоставления доступа к функциям такой системы</t>
  </si>
  <si>
    <t>Исходя из вышеуказанных параметров, сметная стоимость индивидуальных, общих (квартирных), коллективных (общедомовых) приборов учета для целей установки/замены их в многоквартирном доме, а также оборудования для организации интеллектуальной системы учета и предоставления доступа к функциям такой системы на 2023-2024 годы составит:</t>
  </si>
  <si>
    <t>Стоимость индивидуальных, общих (квартирных), коллективных (общедомовых) приборов учета для целей установки/замены их в многоквартирном доме, а также оборудования для организации интеллектуальной системы учета и предоставления доступа к функциям такой системы на 2023-2024 гг.</t>
  </si>
  <si>
    <t xml:space="preserve">пуско-наладочные работы </t>
  </si>
  <si>
    <t>Услуги сторонних организаций*</t>
  </si>
  <si>
    <t xml:space="preserve">* рост услуг сторонних организаций на 2023 и 2024 годы на 4% ежегодно, в соответствии динамикой индекса потребительских цен в рамках Прогноза социально-экономического развития Российской Федерации на 2022 год и плановый период 2023 и 2024 годов </t>
  </si>
  <si>
    <t xml:space="preserve">* рост цены приборов учета и оборудования на 2023 и 2024 годы на 4% ежегодно, в соответствии динамикой индекса потребительских цен в рамках Прогноза социально-экономического развития Российской Федерации на 2022 год и плановый период 2023 и 2024 годов </t>
  </si>
  <si>
    <t>Установка приборов на металлических контракциях, щитах, пультах</t>
  </si>
  <si>
    <t>Стоимость индивидуальных, общих (квартирных), коллективных (общедомовых) приборов учета, а также оборудования для организации интеллектуальной системы учета и предоставления доступа к функциям такой системы</t>
  </si>
  <si>
    <t>ИТОГО стоимость затрат на создание и развитие АИИС КУЭ</t>
  </si>
  <si>
    <t>Таблица №7</t>
  </si>
  <si>
    <t>Таблица №8</t>
  </si>
  <si>
    <t>Таблица №9</t>
  </si>
  <si>
    <t>МКД ул. Пестова д. 22 корп. 1</t>
  </si>
  <si>
    <t>МКД ул. Пионерлагерная д. 14</t>
  </si>
  <si>
    <t>МКД ул. Адмиральского д. 31</t>
  </si>
  <si>
    <t>МКД проезд Оранжерейный д. 7 корп. 2</t>
  </si>
  <si>
    <t>МКД ул. Октябрьская д. 46</t>
  </si>
  <si>
    <t>МКД ул. Первая Бульварная д. 4А</t>
  </si>
  <si>
    <t>МКД ул. Украинская д. 64 корп. 4</t>
  </si>
  <si>
    <t>МКД ул. Бутырина д. 2</t>
  </si>
  <si>
    <t>МКД ул. Кочубея д. 19 корп. 1</t>
  </si>
  <si>
    <t>МКД ул. Первомайская д. 92 корп. 2</t>
  </si>
  <si>
    <t>МКД ул. Первомайская д. 92 корп. 3</t>
  </si>
  <si>
    <t>МКД ул. Кузнечная д. 8А</t>
  </si>
  <si>
    <t>МКД ул. 1-я набережная д. 32 корп. 5</t>
  </si>
  <si>
    <t>МКД ул. Партизанская д. 1Б корп. 4</t>
  </si>
  <si>
    <t>МКД ул. Партизанская д. 1Б корп. 5</t>
  </si>
  <si>
    <t>МКД ул. Партизанская д. 1Б корп. 6</t>
  </si>
  <si>
    <t>МКД ул. Егоршина д. 2</t>
  </si>
  <si>
    <t>МКД ул. Людкевича д. 9</t>
  </si>
  <si>
    <t>МКД ул. Бештаугорская д. 3</t>
  </si>
  <si>
    <t>МКД пр-т. Калинина д. 2 корп. 4</t>
  </si>
  <si>
    <t>МКД пр-т. Калинина д. 20</t>
  </si>
  <si>
    <t>МКД пр-т. Калинина д. 152</t>
  </si>
  <si>
    <t>МКД ул. 295 Стрелковой Дивизии д. 13 корп. 1</t>
  </si>
  <si>
    <t>МКД ул. 295 Стрелковой Дивизии д. 13 корп. 2</t>
  </si>
  <si>
    <t>МКД ул. 295 Стрелковой Дивизии д. 13 корп. 3</t>
  </si>
  <si>
    <t>МКД ул. Адмиральского д. 6а</t>
  </si>
  <si>
    <t>МКД ул. Мира д. 37</t>
  </si>
  <si>
    <t>МКД ул. Московская д. 36</t>
  </si>
  <si>
    <t>МКД ул. Школьная д. 33 корп. 1</t>
  </si>
  <si>
    <t>МКД ул. Транзитная д. 2 корп. 6</t>
  </si>
  <si>
    <t>МКД ул. Нежнова д. 67 корп. 3</t>
  </si>
  <si>
    <t>МКД ул. Кочубея д 19 корп. 1</t>
  </si>
  <si>
    <t>МКД ул. Кооперативная д. 1 корп. 2</t>
  </si>
  <si>
    <t>МКД ул. Розы Люксембург д. 42</t>
  </si>
  <si>
    <t>МКД ул. Красная д. 11</t>
  </si>
  <si>
    <t>МКД ул. Коллективная д. 3</t>
  </si>
  <si>
    <t>МКД пр-т. Калинина д. 2 корп. 1</t>
  </si>
  <si>
    <t>МКД пр-т. Калинина д. 2 корп. 2</t>
  </si>
  <si>
    <t>МКД пр-т. Калинина д. 2 корп. 3</t>
  </si>
  <si>
    <t>МКД пр-т. Калинина д. 2 корп. 5</t>
  </si>
  <si>
    <t>МКД пр-т. Калинина д. 150</t>
  </si>
  <si>
    <t>МКД пр-т. Калинина д. 154</t>
  </si>
  <si>
    <t>МКД пр-т. Калинина д. 156</t>
  </si>
  <si>
    <t>МКД ул. Воровского  д. 78А</t>
  </si>
  <si>
    <t>МКД ул. Ермолова д. 225 корп. 1</t>
  </si>
  <si>
    <t>МКД ул. Ессентукская д. 72</t>
  </si>
  <si>
    <t>МКД ул. Железнодорожная д. 125</t>
  </si>
  <si>
    <t>МКД ул. Кучуры д. 18</t>
  </si>
  <si>
    <t>МКД ул. Кучуры д. 20</t>
  </si>
  <si>
    <t>МКД ул. Мира д. 35</t>
  </si>
  <si>
    <t>МКД ул. Мира д. 46</t>
  </si>
  <si>
    <t>МКД ул. Московская д. 32А</t>
  </si>
  <si>
    <t>МКД ул. Первомайская д. 92 корп. 5</t>
  </si>
  <si>
    <t>МКД ул. Теплосерная д. 123А</t>
  </si>
  <si>
    <t>МКД ул. Сергеева д. 8</t>
  </si>
  <si>
    <t>МКД ул. Украинская д. 44</t>
  </si>
  <si>
    <t>МКД ул. Украинская д. 46</t>
  </si>
  <si>
    <t xml:space="preserve">Монтаж оборудования для осуществления дистанционной передачи показаний с приборов учета </t>
  </si>
  <si>
    <t>Генеральный директор</t>
  </si>
  <si>
    <t>В.А. Хнычев</t>
  </si>
  <si>
    <t>Заместитель генерального директора</t>
  </si>
  <si>
    <t>Экономист 2 категории</t>
  </si>
  <si>
    <t>В.В. Елисеева</t>
  </si>
  <si>
    <t>Стоимость на 
2024 год*, 
руб. без НДС</t>
  </si>
  <si>
    <t>Столбец 3: Пункт 1 договоров поставки с ООО "Новатек Инжиниринг" №182 от 09.06.2021 и №183 от 23.06.2021
Столбец 4: Пункт 1 договоров поставки с ООО "Новатек Инжиниринг" №169/2021 ЮР от 02.09.2021 и №150 от 22.11.2021
Столбец 5. Пункт 1 коммерческого предложения ООО "Новатэк Инжиниринг" от 24.03.2022
№ 24/3/22</t>
  </si>
  <si>
    <t>Столбец 3: Пункт 2 договоров поставки с ООО "Новатек Инжиниринг" №182 от 09.06.2021 и №183 от 23.06.2021
Столбец 4: Пункт 2 договора поставки с ООО "Новатек Инжиниринг" №169/2021 ЮР от 02.09.2021
Столбец 5. Пункт 2 коммерческого предложения ООО "Новатэк Инжиниринг" от 24.03.2022
№ 24/3/22</t>
  </si>
  <si>
    <t>Столбец 3: Пункты 4-6 договоров поставки с ООО "Новатек Инжиниринг" №182 от 09.06.2021 и №183 от 23.06.2021
Столбец 4: Пункты 4-6 договора поставки с ООО "Новатек Инжиниринг" №169/2021 ЮР от 02.09.2021
Столбец 5. Пункты 3,4,5 коммерческого предложения ООО "Новатэк Инжиниринг" от 24.03.2022
№ 24/3/22</t>
  </si>
  <si>
    <t>Столбец 3: Пункт 4 договоров поставки с ООО "Новатек Инжиниринг" №182 от 09.06.2021 и №183 от 23.06.2021
Столбец 4: Пункт 4 договора поставки с ООО "Новатек Инжиниринг" №169/2021 ЮР от 02.09.2021
Столбец 5. Пункт 3 коммерческого предложения ООО "Новатэк Инжиниринг" от от 24.03.2022
№ 24/3/22</t>
  </si>
  <si>
    <t>Столбец 3: Пункт 5 договоров поставки с ООО "Новатек Инжиниринг" №182 от 09.06.2021 и №183 от 23.06.2021
Столбец 4: Пункт 5 договора поставки с ООО "Новатек Инжиниринг" №169/2021 ЮР от 02.09.2021
Столбец 5. Пункт 4 коммерческого предложения ООО "Новатэк Инжиниринг" от 24.03.2022
№ 24/3/22</t>
  </si>
  <si>
    <t>Столбец 3: Пункт 6 договоров поставки с ООО "Новатек Инжиниринг" №182 от 09.06.2021 и №183 от 23.06.2021
Столбец 4: Пункт 6 договора поставки с ООО "Новатек Инжиниринг" №169/2021 ЮР от 02.09.2021
Столбец 5. Пункт 5 коммерческого предложения ООО "Новатэк Инжиниринг" от 24.03.2022
№ 24/3/22</t>
  </si>
  <si>
    <t>товарная накладная №934 от 09.08.2021, счет-фактура №933 от 09.08.2021 (ООО "Торговый дом "ТАКАТ")</t>
  </si>
  <si>
    <t>Договор аренды автомобиля с экипажем №2 от 01.04.2020 (столбец №4: дополнительное соглашение №2 от 31.03.2021 и №3 от 10.01.2022, столбец №5: дополнительное соглашение №4/9 от 31.03.2022)</t>
  </si>
  <si>
    <t>Столбец №4: Договор с ООО "Мастер АСКУЭ" от 01.12.2021 №307988, от 09.12.2021 № 807024
Столбец №5: коммерческое предложение ООО "Пост ЛТД" на 2022 год</t>
  </si>
  <si>
    <t>прибор учета для установки на одно жилое помещение</t>
  </si>
  <si>
    <t>прибор учета для установки в одном МКД</t>
  </si>
  <si>
    <t>стоимость коллективных (общедомовых) приборов учета (трехфазный)</t>
  </si>
  <si>
    <t>стоимость индивидуальных, общих (квартирных) приборов учета (однофазный)</t>
  </si>
  <si>
    <t>4.1.</t>
  </si>
  <si>
    <t>4.2.</t>
  </si>
  <si>
    <t>4.3.</t>
  </si>
  <si>
    <t>4.4.</t>
  </si>
  <si>
    <t>Пункт 7.1. приложения №1 к постановлению Региональной тарифной комиссии Ставропольского края от 23.12.2021 №77/1 "Об установлении стандартизированных тарифных ставок…"</t>
  </si>
  <si>
    <t>Пункт 7.2. приложения №1 к постановлению Региональной тарифной комиссии Ставропольского края от 23.12.2021 №77/1 "Об установлении стандартизированных тарифных ставок…"</t>
  </si>
  <si>
    <t>Средства коммерческого учета электрической энергии (мощности) трехфазные прямого включения</t>
  </si>
  <si>
    <t>ИТОГО 2022-2024 годы</t>
  </si>
  <si>
    <t>стоимость оборудования для организации интеллектуальной системы учета и предоставления доступа к функциям такой системы*</t>
  </si>
  <si>
    <t>стоимость номерного пломбировочного устройства*</t>
  </si>
  <si>
    <t>Стоимость расходов для организации интеллектуальной системы учета и предоставления доступа к функциям такой системы*</t>
  </si>
  <si>
    <t>в т.ч. стоимость собственных затрат*</t>
  </si>
  <si>
    <t>в т.ч. стоимость услуг сторонних организаций*</t>
  </si>
  <si>
    <t>Сводный сметный расчет расходов на создание и развитие автоматизированных информационно-измерительных систем учета ресурсов и передачи показаний приборов учета в многоквартирных домах (организация единой общедомовой интеллектуальной системы учета электроэнергии), находящихся на обслуживании в  АО «Пятигорские электрические сети» на 2022-2024 гг.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</si>
  <si>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Средства коммерческого учета электрической энергии (мощности) однофазные прямого включения</t>
  </si>
  <si>
    <t>* стоимость указана в соответствии со Сводным сметным расчетом расходов на создание и развитие автоматизированных информационно-измерительных систем учета ресурсов, рассчитанным на основании коммерческих предложений поставщиков приборов учета (расчет размещен на официальном сайте АО "Пятигорские электрические сети" https://www.elseti.ru/index.php/information, п. 45е)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</si>
</sst>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0000"/>
    <numFmt numFmtId="165" formatCode="#,##0.000"/>
  </numFmts>
  <fonts count="2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7030A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/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8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8" fillId="0" borderId="0" xfId="0" applyFont="1" applyFill="1"/>
    <xf numFmtId="4" fontId="9" fillId="0" borderId="0" xfId="0" applyNumberFormat="1" applyFont="1" applyFill="1"/>
    <xf numFmtId="0" fontId="6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3" fontId="10" fillId="0" borderId="25" xfId="0" applyNumberFormat="1" applyFont="1" applyBorder="1" applyAlignment="1">
      <alignment horizontal="center" vertical="center" wrapText="1"/>
    </xf>
    <xf numFmtId="0" fontId="6" fillId="0" borderId="0" xfId="0" applyFont="1" applyBorder="1"/>
    <xf numFmtId="3" fontId="9" fillId="0" borderId="0" xfId="0" applyNumberFormat="1" applyFont="1"/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/>
    </xf>
    <xf numFmtId="3" fontId="8" fillId="0" borderId="9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vertical="center" wrapText="1"/>
    </xf>
    <xf numFmtId="3" fontId="10" fillId="0" borderId="25" xfId="0" applyNumberFormat="1" applyFont="1" applyFill="1" applyBorder="1" applyAlignment="1">
      <alignment horizontal="center" vertical="center" wrapText="1"/>
    </xf>
    <xf numFmtId="4" fontId="10" fillId="0" borderId="25" xfId="0" applyNumberFormat="1" applyFont="1" applyFill="1" applyBorder="1" applyAlignment="1">
      <alignment horizontal="center" vertical="center" wrapText="1"/>
    </xf>
    <xf numFmtId="3" fontId="10" fillId="0" borderId="26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/>
    <xf numFmtId="0" fontId="9" fillId="0" borderId="0" xfId="0" applyFont="1" applyFill="1"/>
    <xf numFmtId="164" fontId="9" fillId="0" borderId="0" xfId="0" applyNumberFormat="1" applyFont="1" applyFill="1"/>
    <xf numFmtId="4" fontId="6" fillId="0" borderId="0" xfId="0" applyNumberFormat="1" applyFont="1" applyFill="1"/>
    <xf numFmtId="4" fontId="6" fillId="0" borderId="0" xfId="0" applyNumberFormat="1" applyFont="1"/>
    <xf numFmtId="0" fontId="2" fillId="0" borderId="38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13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/>
    <xf numFmtId="0" fontId="6" fillId="0" borderId="8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4" fontId="10" fillId="0" borderId="2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5" fillId="0" borderId="0" xfId="0" applyFont="1"/>
    <xf numFmtId="0" fontId="6" fillId="0" borderId="0" xfId="0" applyFont="1" applyBorder="1" applyAlignment="1"/>
    <xf numFmtId="0" fontId="2" fillId="0" borderId="2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4" fillId="0" borderId="0" xfId="0" applyFont="1"/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4" fontId="7" fillId="0" borderId="2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6" fillId="0" borderId="0" xfId="0" applyFont="1"/>
    <xf numFmtId="0" fontId="6" fillId="2" borderId="0" xfId="0" applyFont="1" applyFill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3" fontId="9" fillId="0" borderId="0" xfId="0" applyNumberFormat="1" applyFont="1" applyFill="1" applyAlignment="1">
      <alignment horizontal="right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16" fontId="8" fillId="0" borderId="7" xfId="0" applyNumberFormat="1" applyFont="1" applyBorder="1" applyAlignment="1">
      <alignment horizontal="center" vertical="center" wrapText="1"/>
    </xf>
    <xf numFmtId="16" fontId="7" fillId="0" borderId="7" xfId="0" applyNumberFormat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 wrapText="1"/>
    </xf>
    <xf numFmtId="4" fontId="10" fillId="0" borderId="2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0" xfId="0" applyFont="1"/>
    <xf numFmtId="0" fontId="18" fillId="0" borderId="8" xfId="0" applyFont="1" applyBorder="1" applyAlignment="1">
      <alignment horizontal="left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16" fontId="8" fillId="0" borderId="24" xfId="0" applyNumberFormat="1" applyFont="1" applyBorder="1" applyAlignment="1">
      <alignment horizontal="center" vertical="center" wrapText="1"/>
    </xf>
    <xf numFmtId="0" fontId="18" fillId="0" borderId="25" xfId="0" applyFont="1" applyBorder="1" applyAlignment="1">
      <alignment horizontal="left" vertical="center" wrapText="1"/>
    </xf>
    <xf numFmtId="0" fontId="1" fillId="0" borderId="0" xfId="0" applyFont="1"/>
    <xf numFmtId="0" fontId="19" fillId="0" borderId="0" xfId="0" applyFont="1"/>
    <xf numFmtId="0" fontId="20" fillId="0" borderId="8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0" fillId="0" borderId="0" xfId="0" applyFont="1"/>
    <xf numFmtId="0" fontId="11" fillId="0" borderId="0" xfId="0" applyFont="1" applyBorder="1" applyAlignment="1"/>
    <xf numFmtId="4" fontId="8" fillId="0" borderId="25" xfId="0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0" fontId="11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6" fillId="0" borderId="2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53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" fontId="8" fillId="0" borderId="30" xfId="0" applyNumberFormat="1" applyFont="1" applyFill="1" applyBorder="1" applyAlignment="1">
      <alignment horizontal="left" vertical="center" wrapText="1"/>
    </xf>
    <xf numFmtId="16" fontId="6" fillId="0" borderId="30" xfId="0" applyNumberFormat="1" applyFont="1" applyFill="1" applyBorder="1" applyAlignment="1">
      <alignment horizontal="left" vertical="center" wrapText="1"/>
    </xf>
    <xf numFmtId="16" fontId="2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center" vertical="center" wrapText="1"/>
    </xf>
    <xf numFmtId="0" fontId="8" fillId="0" borderId="59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6" fillId="0" borderId="52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2" fillId="0" borderId="15" xfId="0" applyFont="1" applyBorder="1" applyAlignment="1">
      <alignment horizontal="right"/>
    </xf>
    <xf numFmtId="0" fontId="6" fillId="0" borderId="5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16" fontId="2" fillId="0" borderId="37" xfId="0" applyNumberFormat="1" applyFont="1" applyFill="1" applyBorder="1" applyAlignment="1">
      <alignment horizontal="left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right"/>
    </xf>
    <xf numFmtId="0" fontId="2" fillId="0" borderId="53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35" xfId="0" applyFont="1" applyBorder="1" applyAlignment="1">
      <alignment horizontal="left" wrapText="1"/>
    </xf>
  </cellXfs>
  <cellStyles count="1">
    <cellStyle name="Обычный" xfId="0" builtinId="0"/>
  </cellStyles>
  <dxfs count="50"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b/>
        <i/>
      </font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00FF"/>
      <color rgb="FFFFFF65"/>
      <color rgb="FFFFFFC1"/>
      <color rgb="FFCCCC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09B32-C543-491B-8630-45A624103D67}">
  <sheetPr>
    <pageSetUpPr fitToPage="1"/>
  </sheetPr>
  <dimension ref="A1:N94"/>
  <sheetViews>
    <sheetView tabSelected="1" view="pageBreakPreview" zoomScale="55" zoomScaleNormal="100" zoomScaleSheetLayoutView="55" workbookViewId="0">
      <pane xSplit="2" ySplit="10" topLeftCell="C56" activePane="bottomRight" state="frozen"/>
      <selection activeCell="V26" sqref="V8:V26"/>
      <selection pane="topRight" activeCell="V26" sqref="V8:V26"/>
      <selection pane="bottomLeft" activeCell="V26" sqref="V8:V26"/>
      <selection pane="bottomRight" activeCell="F71" sqref="F71"/>
    </sheetView>
  </sheetViews>
  <sheetFormatPr defaultRowHeight="18.75" outlineLevelRow="1" x14ac:dyDescent="0.3"/>
  <cols>
    <col min="1" max="1" width="6.5703125" style="21" customWidth="1"/>
    <col min="2" max="2" width="48.85546875" style="15" customWidth="1"/>
    <col min="3" max="4" width="18.42578125" style="15" customWidth="1"/>
    <col min="5" max="5" width="20.7109375" style="15" customWidth="1"/>
    <col min="6" max="6" width="42" style="15" customWidth="1"/>
    <col min="7" max="7" width="25.42578125" style="15" customWidth="1"/>
    <col min="8" max="8" width="24.140625" style="15" customWidth="1"/>
    <col min="9" max="9" width="29.28515625" style="15" customWidth="1"/>
    <col min="10" max="10" width="22" style="15" customWidth="1"/>
    <col min="11" max="11" width="31.140625" style="15" customWidth="1"/>
    <col min="12" max="12" width="20" style="15" customWidth="1"/>
    <col min="13" max="13" width="21.5703125" style="15" customWidth="1"/>
    <col min="14" max="14" width="22.85546875" style="15" customWidth="1"/>
    <col min="15" max="16384" width="9.140625" style="15"/>
  </cols>
  <sheetData>
    <row r="1" spans="1:14" ht="66.75" customHeight="1" x14ac:dyDescent="0.3">
      <c r="A1" s="173" t="s">
        <v>250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21" thickBot="1" x14ac:dyDescent="0.35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4" ht="57" thickBot="1" x14ac:dyDescent="0.35">
      <c r="A3" s="40" t="s">
        <v>0</v>
      </c>
      <c r="B3" s="41" t="s">
        <v>1</v>
      </c>
      <c r="C3" s="41" t="s">
        <v>83</v>
      </c>
      <c r="D3" s="41" t="s">
        <v>101</v>
      </c>
      <c r="E3" s="41" t="s">
        <v>102</v>
      </c>
      <c r="F3" s="185" t="s">
        <v>2</v>
      </c>
      <c r="G3" s="190"/>
      <c r="H3" s="185" t="s">
        <v>3</v>
      </c>
      <c r="I3" s="186"/>
      <c r="J3" s="186"/>
      <c r="K3" s="186"/>
      <c r="L3" s="187"/>
    </row>
    <row r="4" spans="1:14" ht="19.5" thickBot="1" x14ac:dyDescent="0.35">
      <c r="A4" s="2">
        <v>1</v>
      </c>
      <c r="B4" s="4">
        <v>2</v>
      </c>
      <c r="C4" s="4">
        <v>3</v>
      </c>
      <c r="D4" s="4">
        <v>4</v>
      </c>
      <c r="E4" s="4">
        <v>5</v>
      </c>
      <c r="F4" s="184">
        <v>6</v>
      </c>
      <c r="G4" s="182"/>
      <c r="H4" s="182">
        <v>7</v>
      </c>
      <c r="I4" s="182"/>
      <c r="J4" s="182"/>
      <c r="K4" s="182"/>
      <c r="L4" s="183"/>
    </row>
    <row r="5" spans="1:14" ht="57" thickBot="1" x14ac:dyDescent="0.35">
      <c r="A5" s="42">
        <v>1</v>
      </c>
      <c r="B5" s="172" t="s">
        <v>251</v>
      </c>
      <c r="C5" s="44">
        <v>15982.33</v>
      </c>
      <c r="D5" s="44">
        <f>C5*1.04</f>
        <v>16621.623200000002</v>
      </c>
      <c r="E5" s="44">
        <f t="shared" ref="E5:E6" si="0">D5*1.04</f>
        <v>17286.488128000001</v>
      </c>
      <c r="F5" s="185" t="s">
        <v>233</v>
      </c>
      <c r="G5" s="190"/>
      <c r="H5" s="191" t="s">
        <v>241</v>
      </c>
      <c r="I5" s="192"/>
      <c r="J5" s="192"/>
      <c r="K5" s="192"/>
      <c r="L5" s="193"/>
    </row>
    <row r="6" spans="1:14" ht="57" thickBot="1" x14ac:dyDescent="0.35">
      <c r="A6" s="42">
        <v>2</v>
      </c>
      <c r="B6" s="172" t="s">
        <v>243</v>
      </c>
      <c r="C6" s="44">
        <v>25791.33</v>
      </c>
      <c r="D6" s="44">
        <f t="shared" ref="D6" si="1">C6*1.04</f>
        <v>26822.983200000002</v>
      </c>
      <c r="E6" s="44">
        <f t="shared" si="0"/>
        <v>27895.902528000002</v>
      </c>
      <c r="F6" s="185" t="s">
        <v>234</v>
      </c>
      <c r="G6" s="190"/>
      <c r="H6" s="191" t="s">
        <v>242</v>
      </c>
      <c r="I6" s="192"/>
      <c r="J6" s="192"/>
      <c r="K6" s="192"/>
      <c r="L6" s="193"/>
    </row>
    <row r="7" spans="1:14" x14ac:dyDescent="0.3">
      <c r="A7" s="126"/>
    </row>
    <row r="8" spans="1:14" x14ac:dyDescent="0.3">
      <c r="A8" s="126"/>
    </row>
    <row r="9" spans="1:14" ht="150" x14ac:dyDescent="0.3">
      <c r="A9" s="180" t="s">
        <v>0</v>
      </c>
      <c r="B9" s="178" t="s">
        <v>9</v>
      </c>
      <c r="C9" s="88" t="s">
        <v>29</v>
      </c>
      <c r="D9" s="88" t="s">
        <v>123</v>
      </c>
      <c r="E9" s="88" t="s">
        <v>124</v>
      </c>
      <c r="F9" s="137" t="s">
        <v>155</v>
      </c>
      <c r="G9" s="137" t="s">
        <v>236</v>
      </c>
      <c r="H9" s="137" t="s">
        <v>235</v>
      </c>
      <c r="I9" s="137" t="s">
        <v>245</v>
      </c>
      <c r="J9" s="137" t="s">
        <v>246</v>
      </c>
      <c r="K9" s="137" t="s">
        <v>247</v>
      </c>
      <c r="L9" s="88" t="s">
        <v>248</v>
      </c>
      <c r="M9" s="88" t="s">
        <v>249</v>
      </c>
      <c r="N9" s="88" t="s">
        <v>156</v>
      </c>
    </row>
    <row r="10" spans="1:14" x14ac:dyDescent="0.3">
      <c r="A10" s="181"/>
      <c r="B10" s="179"/>
      <c r="C10" s="12" t="s">
        <v>12</v>
      </c>
      <c r="D10" s="12" t="s">
        <v>12</v>
      </c>
      <c r="E10" s="12" t="s">
        <v>12</v>
      </c>
      <c r="F10" s="12" t="s">
        <v>13</v>
      </c>
      <c r="G10" s="12" t="s">
        <v>13</v>
      </c>
      <c r="H10" s="12" t="s">
        <v>13</v>
      </c>
      <c r="I10" s="12" t="s">
        <v>13</v>
      </c>
      <c r="J10" s="12" t="s">
        <v>13</v>
      </c>
      <c r="K10" s="14" t="s">
        <v>13</v>
      </c>
      <c r="L10" s="12" t="s">
        <v>13</v>
      </c>
      <c r="M10" s="12" t="s">
        <v>13</v>
      </c>
      <c r="N10" s="12" t="s">
        <v>13</v>
      </c>
    </row>
    <row r="11" spans="1:14" x14ac:dyDescent="0.3">
      <c r="A11" s="113">
        <v>1</v>
      </c>
      <c r="B11" s="113">
        <v>2</v>
      </c>
      <c r="C11" s="113">
        <v>3</v>
      </c>
      <c r="D11" s="113" t="s">
        <v>61</v>
      </c>
      <c r="E11" s="113" t="s">
        <v>62</v>
      </c>
      <c r="F11" s="113">
        <v>4</v>
      </c>
      <c r="G11" s="113" t="s">
        <v>237</v>
      </c>
      <c r="H11" s="113" t="s">
        <v>238</v>
      </c>
      <c r="I11" s="113" t="s">
        <v>239</v>
      </c>
      <c r="J11" s="113" t="s">
        <v>240</v>
      </c>
      <c r="K11" s="113">
        <v>5</v>
      </c>
      <c r="L11" s="113" t="s">
        <v>23</v>
      </c>
      <c r="M11" s="113" t="s">
        <v>24</v>
      </c>
      <c r="N11" s="113">
        <v>6</v>
      </c>
    </row>
    <row r="12" spans="1:14" ht="24.75" customHeight="1" x14ac:dyDescent="0.3">
      <c r="A12" s="174" t="s">
        <v>106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6"/>
    </row>
    <row r="13" spans="1:14" s="127" customFormat="1" x14ac:dyDescent="0.3">
      <c r="A13" s="105">
        <v>1</v>
      </c>
      <c r="B13" s="25" t="str">
        <f>'Стоимость ПУ 2022'!B21</f>
        <v>МКД ул. Пестова д. 22 корп. 1</v>
      </c>
      <c r="C13" s="26">
        <f>'Стоимость ПУ 2022'!C21+'Стоимость ПУ 2022'!D21</f>
        <v>57</v>
      </c>
      <c r="D13" s="26">
        <f>'Стоимость ПУ 2022'!C21</f>
        <v>56</v>
      </c>
      <c r="E13" s="26">
        <f>'Стоимость ПУ 2022'!D21</f>
        <v>1</v>
      </c>
      <c r="F13" s="60">
        <f>G13+H13+J13+I13</f>
        <v>943780.73999999987</v>
      </c>
      <c r="G13" s="27">
        <f>D13*$C$5</f>
        <v>895010.48</v>
      </c>
      <c r="H13" s="27">
        <f>E13*$C$6</f>
        <v>25791.33</v>
      </c>
      <c r="I13" s="27">
        <v>22790.83</v>
      </c>
      <c r="J13" s="27">
        <v>188.1</v>
      </c>
      <c r="K13" s="60">
        <f>L13+M13</f>
        <v>65227.54</v>
      </c>
      <c r="L13" s="27">
        <v>51063.87</v>
      </c>
      <c r="M13" s="27">
        <v>14163.67</v>
      </c>
      <c r="N13" s="60">
        <f>F13+K13</f>
        <v>1009008.2799999999</v>
      </c>
    </row>
    <row r="14" spans="1:14" s="127" customFormat="1" outlineLevel="1" x14ac:dyDescent="0.3">
      <c r="A14" s="105">
        <v>2</v>
      </c>
      <c r="B14" s="25" t="str">
        <f>'Стоимость ПУ 2022'!B22</f>
        <v>МКД ул. Пионерлагерная д. 14</v>
      </c>
      <c r="C14" s="26">
        <f>'Стоимость ПУ 2022'!C22+'Стоимость ПУ 2022'!D22</f>
        <v>40</v>
      </c>
      <c r="D14" s="26">
        <f>'Стоимость ПУ 2022'!C22</f>
        <v>39</v>
      </c>
      <c r="E14" s="26">
        <f>'Стоимость ПУ 2022'!D22</f>
        <v>1</v>
      </c>
      <c r="F14" s="60">
        <f t="shared" ref="F14:F31" si="2">G14+H14+J14+I14</f>
        <v>672025.02999999991</v>
      </c>
      <c r="G14" s="27">
        <f t="shared" ref="G14:G31" si="3">D14*$C$5</f>
        <v>623310.87</v>
      </c>
      <c r="H14" s="27">
        <f t="shared" ref="H14:H31" si="4">E14*$C$6</f>
        <v>25791.33</v>
      </c>
      <c r="I14" s="27">
        <v>22790.83</v>
      </c>
      <c r="J14" s="27">
        <v>132</v>
      </c>
      <c r="K14" s="60">
        <f t="shared" ref="K14:K31" si="5">L14+M14</f>
        <v>60559.040000000001</v>
      </c>
      <c r="L14" s="27">
        <v>38478.71</v>
      </c>
      <c r="M14" s="27">
        <v>22080.33</v>
      </c>
      <c r="N14" s="60">
        <f t="shared" ref="N14:N31" si="6">F14+K14</f>
        <v>732584.07</v>
      </c>
    </row>
    <row r="15" spans="1:14" s="127" customFormat="1" outlineLevel="1" x14ac:dyDescent="0.3">
      <c r="A15" s="105">
        <v>3</v>
      </c>
      <c r="B15" s="25" t="str">
        <f>'Стоимость ПУ 2022'!B23</f>
        <v>МКД ул. Адмиральского д. 31</v>
      </c>
      <c r="C15" s="26">
        <f>'Стоимость ПУ 2022'!C23+'Стоимость ПУ 2022'!D23</f>
        <v>106</v>
      </c>
      <c r="D15" s="26">
        <f>'Стоимость ПУ 2022'!C23</f>
        <v>105</v>
      </c>
      <c r="E15" s="26">
        <f>'Стоимость ПУ 2022'!D23</f>
        <v>1</v>
      </c>
      <c r="F15" s="60">
        <f t="shared" si="2"/>
        <v>1727480.79</v>
      </c>
      <c r="G15" s="27">
        <f t="shared" si="3"/>
        <v>1678144.65</v>
      </c>
      <c r="H15" s="27">
        <f t="shared" si="4"/>
        <v>25791.33</v>
      </c>
      <c r="I15" s="27">
        <v>23195.009999999995</v>
      </c>
      <c r="J15" s="27">
        <v>349.8</v>
      </c>
      <c r="K15" s="60">
        <f t="shared" si="5"/>
        <v>109419.12000000001</v>
      </c>
      <c r="L15" s="27">
        <v>87338.790000000008</v>
      </c>
      <c r="M15" s="27">
        <v>22080.33</v>
      </c>
      <c r="N15" s="60">
        <f t="shared" si="6"/>
        <v>1836899.9100000001</v>
      </c>
    </row>
    <row r="16" spans="1:14" ht="20.25" customHeight="1" outlineLevel="1" x14ac:dyDescent="0.3">
      <c r="A16" s="105">
        <v>4</v>
      </c>
      <c r="B16" s="25" t="str">
        <f>'Стоимость ПУ 2022'!B24</f>
        <v>МКД проезд Оранжерейный д. 7 корп. 2</v>
      </c>
      <c r="C16" s="26">
        <f>'Стоимость ПУ 2022'!C24+'Стоимость ПУ 2022'!D24</f>
        <v>21</v>
      </c>
      <c r="D16" s="26">
        <f>'Стоимость ПУ 2022'!C24</f>
        <v>20</v>
      </c>
      <c r="E16" s="26">
        <f>'Стоимость ПУ 2022'!D24</f>
        <v>1</v>
      </c>
      <c r="F16" s="60">
        <f t="shared" si="2"/>
        <v>396524.66</v>
      </c>
      <c r="G16" s="27">
        <f t="shared" si="3"/>
        <v>319646.59999999998</v>
      </c>
      <c r="H16" s="27">
        <f t="shared" si="4"/>
        <v>25791.33</v>
      </c>
      <c r="I16" s="27">
        <v>51017.43</v>
      </c>
      <c r="J16" s="27">
        <v>69.3</v>
      </c>
      <c r="K16" s="60">
        <f t="shared" si="5"/>
        <v>54375.54</v>
      </c>
      <c r="L16" s="27">
        <v>24412.93</v>
      </c>
      <c r="M16" s="27">
        <v>29962.61</v>
      </c>
      <c r="N16" s="60">
        <f t="shared" si="6"/>
        <v>450900.19999999995</v>
      </c>
    </row>
    <row r="17" spans="1:14" outlineLevel="1" x14ac:dyDescent="0.3">
      <c r="A17" s="105">
        <v>5</v>
      </c>
      <c r="B17" s="25" t="str">
        <f>'Стоимость ПУ 2022'!B25</f>
        <v>МКД ул. Октябрьская д. 46</v>
      </c>
      <c r="C17" s="26">
        <f>'Стоимость ПУ 2022'!C25+'Стоимость ПУ 2022'!D25</f>
        <v>28</v>
      </c>
      <c r="D17" s="26">
        <f>'Стоимость ПУ 2022'!C25</f>
        <v>26</v>
      </c>
      <c r="E17" s="26">
        <f>'Стоимость ПУ 2022'!D25</f>
        <v>2</v>
      </c>
      <c r="F17" s="60">
        <f t="shared" si="2"/>
        <v>518233.07</v>
      </c>
      <c r="G17" s="27">
        <f t="shared" si="3"/>
        <v>415540.58</v>
      </c>
      <c r="H17" s="27">
        <f t="shared" si="4"/>
        <v>51582.66</v>
      </c>
      <c r="I17" s="27">
        <v>51017.43</v>
      </c>
      <c r="J17" s="27">
        <v>92.4</v>
      </c>
      <c r="K17" s="60">
        <f t="shared" si="5"/>
        <v>59722.520000000004</v>
      </c>
      <c r="L17" s="27">
        <v>29759.91</v>
      </c>
      <c r="M17" s="27">
        <v>29962.61</v>
      </c>
      <c r="N17" s="60">
        <f t="shared" si="6"/>
        <v>577955.59</v>
      </c>
    </row>
    <row r="18" spans="1:14" outlineLevel="1" x14ac:dyDescent="0.3">
      <c r="A18" s="105">
        <v>6</v>
      </c>
      <c r="B18" s="25" t="str">
        <f>'Стоимость ПУ 2022'!B26</f>
        <v>МКД ул. Первая Бульварная д. 4А</v>
      </c>
      <c r="C18" s="26">
        <f>'Стоимость ПУ 2022'!C26+'Стоимость ПУ 2022'!D26</f>
        <v>54</v>
      </c>
      <c r="D18" s="26">
        <f>'Стоимость ПУ 2022'!C26</f>
        <v>53</v>
      </c>
      <c r="E18" s="26">
        <f>'Стоимость ПУ 2022'!D26</f>
        <v>1</v>
      </c>
      <c r="F18" s="60">
        <f t="shared" si="2"/>
        <v>924050.45</v>
      </c>
      <c r="G18" s="27">
        <f t="shared" si="3"/>
        <v>847063.49</v>
      </c>
      <c r="H18" s="27">
        <f t="shared" si="4"/>
        <v>25791.33</v>
      </c>
      <c r="I18" s="27">
        <v>51017.43</v>
      </c>
      <c r="J18" s="27">
        <v>178.2</v>
      </c>
      <c r="K18" s="60">
        <f t="shared" si="5"/>
        <v>78805.58</v>
      </c>
      <c r="L18" s="27">
        <v>48842.97</v>
      </c>
      <c r="M18" s="27">
        <v>29962.61</v>
      </c>
      <c r="N18" s="60">
        <f t="shared" si="6"/>
        <v>1002856.0299999999</v>
      </c>
    </row>
    <row r="19" spans="1:14" outlineLevel="1" x14ac:dyDescent="0.3">
      <c r="A19" s="105">
        <v>7</v>
      </c>
      <c r="B19" s="25" t="str">
        <f>'Стоимость ПУ 2022'!B27</f>
        <v>МКД ул. Украинская д. 64 корп. 4</v>
      </c>
      <c r="C19" s="26">
        <f>'Стоимость ПУ 2022'!C27+'Стоимость ПУ 2022'!D27</f>
        <v>45</v>
      </c>
      <c r="D19" s="26">
        <f>'Стоимость ПУ 2022'!C27</f>
        <v>44</v>
      </c>
      <c r="E19" s="26">
        <f>'Стоимость ПУ 2022'!D27</f>
        <v>1</v>
      </c>
      <c r="F19" s="60">
        <f t="shared" si="2"/>
        <v>780179.78</v>
      </c>
      <c r="G19" s="27">
        <f t="shared" si="3"/>
        <v>703222.52</v>
      </c>
      <c r="H19" s="27">
        <f t="shared" si="4"/>
        <v>25791.33</v>
      </c>
      <c r="I19" s="27">
        <v>51017.43</v>
      </c>
      <c r="J19" s="27">
        <v>148.5</v>
      </c>
      <c r="K19" s="60">
        <f t="shared" si="5"/>
        <v>72142.84</v>
      </c>
      <c r="L19" s="27">
        <v>42180.229999999996</v>
      </c>
      <c r="M19" s="27">
        <v>29962.61</v>
      </c>
      <c r="N19" s="60">
        <f t="shared" si="6"/>
        <v>852322.62</v>
      </c>
    </row>
    <row r="20" spans="1:14" s="128" customFormat="1" outlineLevel="1" x14ac:dyDescent="0.3">
      <c r="A20" s="105">
        <v>8</v>
      </c>
      <c r="B20" s="25" t="str">
        <f>'Стоимость ПУ 2022'!B28</f>
        <v>МКД ул. Бутырина д. 2</v>
      </c>
      <c r="C20" s="26">
        <f>'Стоимость ПУ 2022'!C28+'Стоимость ПУ 2022'!D28</f>
        <v>7</v>
      </c>
      <c r="D20" s="26">
        <f>'Стоимость ПУ 2022'!C28</f>
        <v>5</v>
      </c>
      <c r="E20" s="26">
        <f>'Стоимость ПУ 2022'!D28</f>
        <v>2</v>
      </c>
      <c r="F20" s="60">
        <f t="shared" si="2"/>
        <v>182534.84</v>
      </c>
      <c r="G20" s="27">
        <f t="shared" si="3"/>
        <v>79911.649999999994</v>
      </c>
      <c r="H20" s="27">
        <f t="shared" si="4"/>
        <v>51582.66</v>
      </c>
      <c r="I20" s="27">
        <v>51017.43</v>
      </c>
      <c r="J20" s="27">
        <v>23.1</v>
      </c>
      <c r="K20" s="60">
        <f t="shared" si="5"/>
        <v>43441.229999999996</v>
      </c>
      <c r="L20" s="27">
        <v>14213.529999999999</v>
      </c>
      <c r="M20" s="27">
        <v>29227.7</v>
      </c>
      <c r="N20" s="60">
        <f t="shared" si="6"/>
        <v>225976.07</v>
      </c>
    </row>
    <row r="21" spans="1:14" s="128" customFormat="1" outlineLevel="1" x14ac:dyDescent="0.3">
      <c r="A21" s="105">
        <v>9</v>
      </c>
      <c r="B21" s="25" t="str">
        <f>'Стоимость ПУ 2022'!B29</f>
        <v>МКД ул. Кочубея д. 19 корп. 1</v>
      </c>
      <c r="C21" s="26">
        <f>'Стоимость ПУ 2022'!C29+'Стоимость ПУ 2022'!D29</f>
        <v>8</v>
      </c>
      <c r="D21" s="26">
        <f>'Стоимость ПУ 2022'!C29</f>
        <v>6</v>
      </c>
      <c r="E21" s="26">
        <f>'Стоимость ПУ 2022'!D29</f>
        <v>2</v>
      </c>
      <c r="F21" s="60">
        <f t="shared" si="2"/>
        <v>198520.47</v>
      </c>
      <c r="G21" s="27">
        <f t="shared" si="3"/>
        <v>95893.98</v>
      </c>
      <c r="H21" s="27">
        <f t="shared" si="4"/>
        <v>51582.66</v>
      </c>
      <c r="I21" s="27">
        <v>51017.43</v>
      </c>
      <c r="J21" s="27">
        <v>26.4</v>
      </c>
      <c r="K21" s="60">
        <f t="shared" si="5"/>
        <v>44181.53</v>
      </c>
      <c r="L21" s="27">
        <v>14953.829999999998</v>
      </c>
      <c r="M21" s="27">
        <v>29227.7</v>
      </c>
      <c r="N21" s="60">
        <f t="shared" ref="N21" si="7">F21+K21</f>
        <v>242702</v>
      </c>
    </row>
    <row r="22" spans="1:14" outlineLevel="1" x14ac:dyDescent="0.3">
      <c r="A22" s="105">
        <v>10</v>
      </c>
      <c r="B22" s="25" t="str">
        <f>'Стоимость ПУ 2022'!B30</f>
        <v>МКД ул. Первомайская д. 92 корп. 2</v>
      </c>
      <c r="C22" s="26">
        <f>'Стоимость ПУ 2022'!C30+'Стоимость ПУ 2022'!D30</f>
        <v>31</v>
      </c>
      <c r="D22" s="26">
        <f>'Стоимость ПУ 2022'!C30</f>
        <v>30</v>
      </c>
      <c r="E22" s="26">
        <f>'Стоимость ПУ 2022'!D30</f>
        <v>1</v>
      </c>
      <c r="F22" s="60">
        <f t="shared" si="2"/>
        <v>556380.96000000008</v>
      </c>
      <c r="G22" s="27">
        <f t="shared" si="3"/>
        <v>479469.9</v>
      </c>
      <c r="H22" s="27">
        <f t="shared" si="4"/>
        <v>25791.33</v>
      </c>
      <c r="I22" s="27">
        <v>51017.43</v>
      </c>
      <c r="J22" s="27">
        <v>102.3</v>
      </c>
      <c r="K22" s="60">
        <f t="shared" si="5"/>
        <v>61778.59</v>
      </c>
      <c r="L22" s="27">
        <v>31815.98</v>
      </c>
      <c r="M22" s="27">
        <v>29962.61</v>
      </c>
      <c r="N22" s="60">
        <f t="shared" si="6"/>
        <v>618159.55000000005</v>
      </c>
    </row>
    <row r="23" spans="1:14" outlineLevel="1" x14ac:dyDescent="0.3">
      <c r="A23" s="105">
        <v>11</v>
      </c>
      <c r="B23" s="25" t="str">
        <f>'Стоимость ПУ 2022'!B31</f>
        <v>МКД ул. Первомайская д. 92 корп. 3</v>
      </c>
      <c r="C23" s="26">
        <f>'Стоимость ПУ 2022'!C31+'Стоимость ПУ 2022'!D31</f>
        <v>30</v>
      </c>
      <c r="D23" s="26">
        <f>'Стоимость ПУ 2022'!C31</f>
        <v>29</v>
      </c>
      <c r="E23" s="26">
        <f>'Стоимость ПУ 2022'!D31</f>
        <v>1</v>
      </c>
      <c r="F23" s="60">
        <f t="shared" si="2"/>
        <v>540395.33000000007</v>
      </c>
      <c r="G23" s="27">
        <f t="shared" si="3"/>
        <v>463487.57</v>
      </c>
      <c r="H23" s="27">
        <f t="shared" si="4"/>
        <v>25791.33</v>
      </c>
      <c r="I23" s="27">
        <v>51017.43</v>
      </c>
      <c r="J23" s="27">
        <v>99</v>
      </c>
      <c r="K23" s="60">
        <f t="shared" si="5"/>
        <v>61038.270000000004</v>
      </c>
      <c r="L23" s="27">
        <v>31075.66</v>
      </c>
      <c r="M23" s="27">
        <v>29962.61</v>
      </c>
      <c r="N23" s="60">
        <f t="shared" si="6"/>
        <v>601433.60000000009</v>
      </c>
    </row>
    <row r="24" spans="1:14" outlineLevel="1" x14ac:dyDescent="0.3">
      <c r="A24" s="105">
        <v>12</v>
      </c>
      <c r="B24" s="25" t="str">
        <f>'Стоимость ПУ 2022'!B32</f>
        <v>МКД ул. Кузнечная д. 8А</v>
      </c>
      <c r="C24" s="26">
        <f>'Стоимость ПУ 2022'!C32+'Стоимость ПУ 2022'!D32</f>
        <v>32</v>
      </c>
      <c r="D24" s="26">
        <f>'Стоимость ПУ 2022'!C32</f>
        <v>31</v>
      </c>
      <c r="E24" s="26">
        <f>'Стоимость ПУ 2022'!D32</f>
        <v>1</v>
      </c>
      <c r="F24" s="60">
        <f t="shared" si="2"/>
        <v>572366.59</v>
      </c>
      <c r="G24" s="27">
        <f t="shared" si="3"/>
        <v>495452.23</v>
      </c>
      <c r="H24" s="27">
        <f t="shared" si="4"/>
        <v>25791.33</v>
      </c>
      <c r="I24" s="27">
        <v>51017.43</v>
      </c>
      <c r="J24" s="27">
        <v>105.6</v>
      </c>
      <c r="K24" s="60">
        <f t="shared" si="5"/>
        <v>62518.89</v>
      </c>
      <c r="L24" s="27">
        <v>32556.28</v>
      </c>
      <c r="M24" s="27">
        <v>29962.61</v>
      </c>
      <c r="N24" s="60">
        <f t="shared" si="6"/>
        <v>634885.48</v>
      </c>
    </row>
    <row r="25" spans="1:14" outlineLevel="1" x14ac:dyDescent="0.3">
      <c r="A25" s="105">
        <v>13</v>
      </c>
      <c r="B25" s="25" t="str">
        <f>'Стоимость ПУ 2022'!B33</f>
        <v>МКД ул. 1-я набережная д. 32 корп. 5</v>
      </c>
      <c r="C25" s="26">
        <f>'Стоимость ПУ 2022'!C33+'Стоимость ПУ 2022'!D33</f>
        <v>21</v>
      </c>
      <c r="D25" s="26">
        <f>'Стоимость ПУ 2022'!C33</f>
        <v>20</v>
      </c>
      <c r="E25" s="26">
        <f>'Стоимость ПУ 2022'!D33</f>
        <v>1</v>
      </c>
      <c r="F25" s="60">
        <f t="shared" si="2"/>
        <v>396524.66</v>
      </c>
      <c r="G25" s="27">
        <f t="shared" si="3"/>
        <v>319646.59999999998</v>
      </c>
      <c r="H25" s="27">
        <f t="shared" si="4"/>
        <v>25791.33</v>
      </c>
      <c r="I25" s="27">
        <v>51017.43</v>
      </c>
      <c r="J25" s="27">
        <v>69.3</v>
      </c>
      <c r="K25" s="60">
        <f t="shared" si="5"/>
        <v>54375.54</v>
      </c>
      <c r="L25" s="27">
        <v>24412.93</v>
      </c>
      <c r="M25" s="27">
        <v>29962.61</v>
      </c>
      <c r="N25" s="60">
        <f t="shared" si="6"/>
        <v>450900.19999999995</v>
      </c>
    </row>
    <row r="26" spans="1:14" outlineLevel="1" x14ac:dyDescent="0.3">
      <c r="A26" s="105">
        <v>14</v>
      </c>
      <c r="B26" s="25" t="str">
        <f>'Стоимость ПУ 2022'!B34</f>
        <v>МКД ул. Партизанская д. 1Б корп. 4</v>
      </c>
      <c r="C26" s="26">
        <f>'Стоимость ПУ 2022'!C34+'Стоимость ПУ 2022'!D34</f>
        <v>31</v>
      </c>
      <c r="D26" s="26">
        <f>'Стоимость ПУ 2022'!C34</f>
        <v>30</v>
      </c>
      <c r="E26" s="26">
        <f>'Стоимость ПУ 2022'!D34</f>
        <v>1</v>
      </c>
      <c r="F26" s="60">
        <f t="shared" si="2"/>
        <v>556380.96000000008</v>
      </c>
      <c r="G26" s="27">
        <f t="shared" si="3"/>
        <v>479469.9</v>
      </c>
      <c r="H26" s="27">
        <f t="shared" si="4"/>
        <v>25791.33</v>
      </c>
      <c r="I26" s="27">
        <v>51017.43</v>
      </c>
      <c r="J26" s="27">
        <v>102.3</v>
      </c>
      <c r="K26" s="60">
        <f t="shared" si="5"/>
        <v>61778.59</v>
      </c>
      <c r="L26" s="27">
        <v>31815.98</v>
      </c>
      <c r="M26" s="27">
        <v>29962.61</v>
      </c>
      <c r="N26" s="60">
        <f t="shared" si="6"/>
        <v>618159.55000000005</v>
      </c>
    </row>
    <row r="27" spans="1:14" outlineLevel="1" x14ac:dyDescent="0.3">
      <c r="A27" s="105">
        <v>15</v>
      </c>
      <c r="B27" s="25" t="str">
        <f>'Стоимость ПУ 2022'!B35</f>
        <v>МКД ул. Партизанская д. 1Б корп. 5</v>
      </c>
      <c r="C27" s="26">
        <f>'Стоимость ПУ 2022'!C35+'Стоимость ПУ 2022'!D35</f>
        <v>58</v>
      </c>
      <c r="D27" s="26">
        <f>'Стоимость ПУ 2022'!C35</f>
        <v>57</v>
      </c>
      <c r="E27" s="26">
        <f>'Стоимость ПУ 2022'!D35</f>
        <v>1</v>
      </c>
      <c r="F27" s="60">
        <f t="shared" si="2"/>
        <v>987992.97</v>
      </c>
      <c r="G27" s="27">
        <f t="shared" si="3"/>
        <v>910992.80999999994</v>
      </c>
      <c r="H27" s="27">
        <f t="shared" si="4"/>
        <v>25791.33</v>
      </c>
      <c r="I27" s="27">
        <v>51017.43</v>
      </c>
      <c r="J27" s="27">
        <v>191.4</v>
      </c>
      <c r="K27" s="60">
        <f t="shared" si="5"/>
        <v>81766.799999999988</v>
      </c>
      <c r="L27" s="27">
        <v>51804.189999999995</v>
      </c>
      <c r="M27" s="27">
        <v>29962.61</v>
      </c>
      <c r="N27" s="60">
        <f t="shared" si="6"/>
        <v>1069759.77</v>
      </c>
    </row>
    <row r="28" spans="1:14" outlineLevel="1" x14ac:dyDescent="0.3">
      <c r="A28" s="105">
        <v>16</v>
      </c>
      <c r="B28" s="25" t="str">
        <f>'Стоимость ПУ 2022'!B36</f>
        <v>МКД ул. Партизанская д. 1Б корп. 6</v>
      </c>
      <c r="C28" s="26">
        <f>'Стоимость ПУ 2022'!C36+'Стоимость ПУ 2022'!D36</f>
        <v>42</v>
      </c>
      <c r="D28" s="26">
        <f>'Стоимость ПУ 2022'!C36</f>
        <v>41</v>
      </c>
      <c r="E28" s="26">
        <f>'Стоимость ПУ 2022'!D36</f>
        <v>1</v>
      </c>
      <c r="F28" s="60">
        <f t="shared" si="2"/>
        <v>704400.47</v>
      </c>
      <c r="G28" s="27">
        <f t="shared" si="3"/>
        <v>655275.53</v>
      </c>
      <c r="H28" s="27">
        <f t="shared" si="4"/>
        <v>25791.33</v>
      </c>
      <c r="I28" s="27">
        <v>23195.009999999995</v>
      </c>
      <c r="J28" s="27">
        <v>138.6</v>
      </c>
      <c r="K28" s="60">
        <f t="shared" si="5"/>
        <v>69921.929999999993</v>
      </c>
      <c r="L28" s="27">
        <v>39959.32</v>
      </c>
      <c r="M28" s="27">
        <v>29962.61</v>
      </c>
      <c r="N28" s="60">
        <f t="shared" si="6"/>
        <v>774322.39999999991</v>
      </c>
    </row>
    <row r="29" spans="1:14" outlineLevel="1" x14ac:dyDescent="0.3">
      <c r="A29" s="105">
        <v>17</v>
      </c>
      <c r="B29" s="25" t="str">
        <f>'Стоимость ПУ 2022'!B37</f>
        <v>МКД ул. Егоршина д. 2</v>
      </c>
      <c r="C29" s="26">
        <f>'Стоимость ПУ 2022'!C37+'Стоимость ПУ 2022'!D37</f>
        <v>45</v>
      </c>
      <c r="D29" s="26">
        <f>'Стоимость ПУ 2022'!C37</f>
        <v>44</v>
      </c>
      <c r="E29" s="26">
        <f>'Стоимость ПУ 2022'!D37</f>
        <v>1</v>
      </c>
      <c r="F29" s="60">
        <f t="shared" si="2"/>
        <v>780179.78</v>
      </c>
      <c r="G29" s="27">
        <f t="shared" si="3"/>
        <v>703222.52</v>
      </c>
      <c r="H29" s="27">
        <f t="shared" si="4"/>
        <v>25791.33</v>
      </c>
      <c r="I29" s="27">
        <v>51017.43</v>
      </c>
      <c r="J29" s="27">
        <v>148.5</v>
      </c>
      <c r="K29" s="60">
        <f t="shared" si="5"/>
        <v>72142.84</v>
      </c>
      <c r="L29" s="27">
        <v>42180.229999999996</v>
      </c>
      <c r="M29" s="27">
        <v>29962.61</v>
      </c>
      <c r="N29" s="60">
        <f t="shared" si="6"/>
        <v>852322.62</v>
      </c>
    </row>
    <row r="30" spans="1:14" outlineLevel="1" x14ac:dyDescent="0.3">
      <c r="A30" s="105">
        <v>18</v>
      </c>
      <c r="B30" s="25" t="str">
        <f>'Стоимость ПУ 2022'!B38</f>
        <v>МКД ул. Людкевича д. 9</v>
      </c>
      <c r="C30" s="26">
        <f>'Стоимость ПУ 2022'!C38+'Стоимость ПУ 2022'!D38</f>
        <v>25</v>
      </c>
      <c r="D30" s="26">
        <f>'Стоимость ПУ 2022'!C38</f>
        <v>24</v>
      </c>
      <c r="E30" s="26">
        <f>'Стоимость ПУ 2022'!D38</f>
        <v>1</v>
      </c>
      <c r="F30" s="60">
        <f t="shared" si="2"/>
        <v>460467.18</v>
      </c>
      <c r="G30" s="27">
        <f t="shared" si="3"/>
        <v>383575.92</v>
      </c>
      <c r="H30" s="27">
        <f t="shared" si="4"/>
        <v>25791.33</v>
      </c>
      <c r="I30" s="27">
        <v>51017.43</v>
      </c>
      <c r="J30" s="27">
        <v>82.5</v>
      </c>
      <c r="K30" s="60">
        <f t="shared" si="5"/>
        <v>57336.76</v>
      </c>
      <c r="L30" s="27">
        <v>27374.15</v>
      </c>
      <c r="M30" s="27">
        <v>29962.61</v>
      </c>
      <c r="N30" s="60">
        <f t="shared" si="6"/>
        <v>517803.94</v>
      </c>
    </row>
    <row r="31" spans="1:14" x14ac:dyDescent="0.3">
      <c r="A31" s="105">
        <v>19</v>
      </c>
      <c r="B31" s="25" t="str">
        <f>'Стоимость ПУ 2022'!B39</f>
        <v>МКД ул. Бештаугорская д. 3</v>
      </c>
      <c r="C31" s="26">
        <f>'Стоимость ПУ 2022'!C39+'Стоимость ПУ 2022'!D39</f>
        <v>83</v>
      </c>
      <c r="D31" s="26">
        <f>'Стоимость ПУ 2022'!C39</f>
        <v>78</v>
      </c>
      <c r="E31" s="26">
        <f>'Стоимость ПУ 2022'!D39</f>
        <v>5</v>
      </c>
      <c r="F31" s="60">
        <f t="shared" si="2"/>
        <v>1426869.7199999997</v>
      </c>
      <c r="G31" s="27">
        <f t="shared" si="3"/>
        <v>1246621.74</v>
      </c>
      <c r="H31" s="27">
        <f t="shared" si="4"/>
        <v>128956.65000000001</v>
      </c>
      <c r="I31" s="27">
        <v>51017.43</v>
      </c>
      <c r="J31" s="27">
        <v>273.89999999999998</v>
      </c>
      <c r="K31" s="60">
        <f t="shared" si="5"/>
        <v>100933.83</v>
      </c>
      <c r="L31" s="27">
        <v>70971.22</v>
      </c>
      <c r="M31" s="27">
        <v>29962.61</v>
      </c>
      <c r="N31" s="60">
        <f t="shared" si="6"/>
        <v>1527803.5499999998</v>
      </c>
    </row>
    <row r="32" spans="1:14" ht="21" customHeight="1" x14ac:dyDescent="0.3">
      <c r="A32" s="129" t="s">
        <v>14</v>
      </c>
      <c r="B32" s="130" t="s">
        <v>107</v>
      </c>
      <c r="C32" s="131">
        <f t="shared" ref="C32:N32" si="8">SUM(C13:C31)</f>
        <v>764</v>
      </c>
      <c r="D32" s="131">
        <f t="shared" si="8"/>
        <v>738</v>
      </c>
      <c r="E32" s="131">
        <f t="shared" si="8"/>
        <v>26</v>
      </c>
      <c r="F32" s="132">
        <f t="shared" si="8"/>
        <v>13325288.449999999</v>
      </c>
      <c r="G32" s="132">
        <f t="shared" si="8"/>
        <v>11794959.540000001</v>
      </c>
      <c r="H32" s="132">
        <f t="shared" si="8"/>
        <v>670574.58000000019</v>
      </c>
      <c r="I32" s="132">
        <f t="shared" si="8"/>
        <v>857233.13000000035</v>
      </c>
      <c r="J32" s="132">
        <f t="shared" si="8"/>
        <v>2521.1999999999998</v>
      </c>
      <c r="K32" s="132">
        <f t="shared" si="8"/>
        <v>1271466.9800000002</v>
      </c>
      <c r="L32" s="132">
        <f t="shared" si="8"/>
        <v>735210.70999999985</v>
      </c>
      <c r="M32" s="132">
        <f t="shared" si="8"/>
        <v>536256.2699999999</v>
      </c>
      <c r="N32" s="132">
        <f t="shared" si="8"/>
        <v>14596755.43</v>
      </c>
    </row>
    <row r="33" spans="1:14" ht="24.75" customHeight="1" x14ac:dyDescent="0.3">
      <c r="A33" s="174" t="s">
        <v>109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6"/>
    </row>
    <row r="34" spans="1:14" s="29" customFormat="1" outlineLevel="1" x14ac:dyDescent="0.3">
      <c r="A34" s="105">
        <v>1</v>
      </c>
      <c r="B34" s="25" t="str">
        <f>'Стоимость ПУ 2023-2024'!B22</f>
        <v>МКД пр-т. Калинина д. 2 корп. 4</v>
      </c>
      <c r="C34" s="26">
        <f>'Стоимость ПУ 2023-2024'!J22+'Стоимость ПУ 2023-2024'!K22</f>
        <v>79</v>
      </c>
      <c r="D34" s="26">
        <f>'Стоимость ПУ 2023-2024'!C22</f>
        <v>78</v>
      </c>
      <c r="E34" s="26">
        <f>'Стоимость ПУ 2023-2024'!D22</f>
        <v>1</v>
      </c>
      <c r="F34" s="60">
        <f t="shared" ref="F34:F51" si="9">G34+H34+J34+I34</f>
        <v>1376628.4227999998</v>
      </c>
      <c r="G34" s="27">
        <f>D34*$D$5</f>
        <v>1296486.6096000001</v>
      </c>
      <c r="H34" s="27">
        <f>$D$6*E34</f>
        <v>26822.983200000002</v>
      </c>
      <c r="I34" s="27">
        <v>53058.13</v>
      </c>
      <c r="J34" s="27">
        <v>260.7</v>
      </c>
      <c r="K34" s="60">
        <f t="shared" ref="K34:K51" si="10">L34+M34</f>
        <v>98511.71</v>
      </c>
      <c r="L34" s="27">
        <v>67350.570000000007</v>
      </c>
      <c r="M34" s="27">
        <v>31161.14</v>
      </c>
      <c r="N34" s="60">
        <f t="shared" ref="N34:N51" si="11">F34+K34</f>
        <v>1475140.1327999998</v>
      </c>
    </row>
    <row r="35" spans="1:14" s="29" customFormat="1" outlineLevel="1" x14ac:dyDescent="0.3">
      <c r="A35" s="105">
        <v>2</v>
      </c>
      <c r="B35" s="25" t="str">
        <f>'Стоимость ПУ 2023-2024'!B23</f>
        <v>МКД пр-т. Калинина д. 20</v>
      </c>
      <c r="C35" s="26">
        <f>'Стоимость ПУ 2023-2024'!J23+'Стоимость ПУ 2023-2024'!K23</f>
        <v>35</v>
      </c>
      <c r="D35" s="26">
        <f>'Стоимость ПУ 2023-2024'!C23</f>
        <v>34</v>
      </c>
      <c r="E35" s="26">
        <f>'Стоимость ПУ 2023-2024'!D23</f>
        <v>1</v>
      </c>
      <c r="F35" s="60">
        <f t="shared" si="9"/>
        <v>645131.80200000014</v>
      </c>
      <c r="G35" s="27">
        <f t="shared" ref="G35:G51" si="12">D35*$D$5</f>
        <v>565135.18880000012</v>
      </c>
      <c r="H35" s="27">
        <f t="shared" ref="H35:H51" si="13">$D$6*E35</f>
        <v>26822.983200000002</v>
      </c>
      <c r="I35" s="27">
        <v>53058.13</v>
      </c>
      <c r="J35" s="27">
        <v>115.5</v>
      </c>
      <c r="K35" s="60">
        <f t="shared" si="10"/>
        <v>65938.33</v>
      </c>
      <c r="L35" s="27">
        <v>34777.19</v>
      </c>
      <c r="M35" s="27">
        <v>31161.14</v>
      </c>
      <c r="N35" s="60">
        <f t="shared" si="11"/>
        <v>711070.1320000001</v>
      </c>
    </row>
    <row r="36" spans="1:14" s="28" customFormat="1" outlineLevel="1" x14ac:dyDescent="0.3">
      <c r="A36" s="105">
        <v>3</v>
      </c>
      <c r="B36" s="31" t="str">
        <f>'Стоимость ПУ 2023-2024'!B24</f>
        <v>МКД пр-т. Калинина д. 152</v>
      </c>
      <c r="C36" s="32">
        <f>'Стоимость ПУ 2023-2024'!J24+'Стоимость ПУ 2023-2024'!K24</f>
        <v>21</v>
      </c>
      <c r="D36" s="26">
        <f>'Стоимость ПУ 2023-2024'!C24</f>
        <v>20</v>
      </c>
      <c r="E36" s="26">
        <f>'Стоимость ПУ 2023-2024'!D24</f>
        <v>1</v>
      </c>
      <c r="F36" s="60">
        <f t="shared" si="9"/>
        <v>412382.87720000005</v>
      </c>
      <c r="G36" s="27">
        <f t="shared" si="12"/>
        <v>332432.46400000004</v>
      </c>
      <c r="H36" s="27">
        <f t="shared" si="13"/>
        <v>26822.983200000002</v>
      </c>
      <c r="I36" s="27">
        <v>53058.13</v>
      </c>
      <c r="J36" s="27">
        <v>69.3</v>
      </c>
      <c r="K36" s="60">
        <f t="shared" si="10"/>
        <v>55574.07</v>
      </c>
      <c r="L36" s="33">
        <v>24412.93</v>
      </c>
      <c r="M36" s="33">
        <v>31161.14</v>
      </c>
      <c r="N36" s="64">
        <f t="shared" si="11"/>
        <v>467956.94720000005</v>
      </c>
    </row>
    <row r="37" spans="1:14" s="28" customFormat="1" ht="37.5" outlineLevel="1" x14ac:dyDescent="0.3">
      <c r="A37" s="105">
        <v>4</v>
      </c>
      <c r="B37" s="31" t="str">
        <f>'Стоимость ПУ 2023-2024'!B25</f>
        <v>МКД ул. 295 Стрелковой Дивизии д. 13 корп. 1</v>
      </c>
      <c r="C37" s="32">
        <f>'Стоимость ПУ 2023-2024'!J25+'Стоимость ПУ 2023-2024'!K25</f>
        <v>28</v>
      </c>
      <c r="D37" s="26">
        <f>'Стоимость ПУ 2023-2024'!C25</f>
        <v>27</v>
      </c>
      <c r="E37" s="26">
        <f>'Стоимость ПУ 2023-2024'!D25</f>
        <v>1</v>
      </c>
      <c r="F37" s="60">
        <f t="shared" si="9"/>
        <v>528757.33960000006</v>
      </c>
      <c r="G37" s="27">
        <f t="shared" si="12"/>
        <v>448783.82640000002</v>
      </c>
      <c r="H37" s="27">
        <f t="shared" si="13"/>
        <v>26822.983200000002</v>
      </c>
      <c r="I37" s="27">
        <v>53058.13</v>
      </c>
      <c r="J37" s="27">
        <v>92.4</v>
      </c>
      <c r="K37" s="60">
        <f t="shared" si="10"/>
        <v>60756.21</v>
      </c>
      <c r="L37" s="33">
        <v>29595.07</v>
      </c>
      <c r="M37" s="33">
        <v>31161.14</v>
      </c>
      <c r="N37" s="64">
        <f t="shared" si="11"/>
        <v>589513.54960000003</v>
      </c>
    </row>
    <row r="38" spans="1:14" s="28" customFormat="1" ht="37.5" outlineLevel="1" x14ac:dyDescent="0.3">
      <c r="A38" s="105">
        <v>5</v>
      </c>
      <c r="B38" s="31" t="str">
        <f>'Стоимость ПУ 2023-2024'!B26</f>
        <v>МКД ул. 295 Стрелковой Дивизии д. 13 корп. 2</v>
      </c>
      <c r="C38" s="32">
        <f>'Стоимость ПУ 2023-2024'!J26+'Стоимость ПУ 2023-2024'!K26</f>
        <v>23</v>
      </c>
      <c r="D38" s="26">
        <f>'Стоимость ПУ 2023-2024'!C26</f>
        <v>22</v>
      </c>
      <c r="E38" s="26">
        <f>'Стоимость ПУ 2023-2024'!D26</f>
        <v>1</v>
      </c>
      <c r="F38" s="60">
        <f t="shared" si="9"/>
        <v>445632.72360000008</v>
      </c>
      <c r="G38" s="27">
        <f t="shared" si="12"/>
        <v>365675.71040000004</v>
      </c>
      <c r="H38" s="27">
        <f t="shared" si="13"/>
        <v>26822.983200000002</v>
      </c>
      <c r="I38" s="27">
        <v>53058.13</v>
      </c>
      <c r="J38" s="27">
        <v>75.900000000000006</v>
      </c>
      <c r="K38" s="60">
        <f t="shared" si="10"/>
        <v>57054.68</v>
      </c>
      <c r="L38" s="33">
        <v>25893.54</v>
      </c>
      <c r="M38" s="33">
        <v>31161.14</v>
      </c>
      <c r="N38" s="64">
        <f t="shared" si="11"/>
        <v>502687.40360000008</v>
      </c>
    </row>
    <row r="39" spans="1:14" s="28" customFormat="1" ht="37.5" outlineLevel="1" x14ac:dyDescent="0.3">
      <c r="A39" s="105">
        <v>6</v>
      </c>
      <c r="B39" s="31" t="str">
        <f>'Стоимость ПУ 2023-2024'!B27</f>
        <v>МКД ул. 295 Стрелковой Дивизии д. 13 корп. 3</v>
      </c>
      <c r="C39" s="32">
        <f>'Стоимость ПУ 2023-2024'!J27+'Стоимость ПУ 2023-2024'!K27</f>
        <v>19</v>
      </c>
      <c r="D39" s="26">
        <f>'Стоимость ПУ 2023-2024'!C27</f>
        <v>18</v>
      </c>
      <c r="E39" s="26">
        <f>'Стоимость ПУ 2023-2024'!D27</f>
        <v>1</v>
      </c>
      <c r="F39" s="60">
        <f t="shared" si="9"/>
        <v>379133.03080000007</v>
      </c>
      <c r="G39" s="27">
        <f t="shared" si="12"/>
        <v>299189.21760000003</v>
      </c>
      <c r="H39" s="27">
        <f t="shared" si="13"/>
        <v>26822.983200000002</v>
      </c>
      <c r="I39" s="27">
        <v>53058.13</v>
      </c>
      <c r="J39" s="27">
        <v>62.7</v>
      </c>
      <c r="K39" s="60">
        <f t="shared" si="10"/>
        <v>54093.46</v>
      </c>
      <c r="L39" s="33">
        <v>22932.32</v>
      </c>
      <c r="M39" s="33">
        <v>31161.14</v>
      </c>
      <c r="N39" s="64">
        <f t="shared" si="11"/>
        <v>433226.49080000009</v>
      </c>
    </row>
    <row r="40" spans="1:14" s="28" customFormat="1" outlineLevel="1" x14ac:dyDescent="0.3">
      <c r="A40" s="105">
        <v>7</v>
      </c>
      <c r="B40" s="31" t="str">
        <f>'Стоимость ПУ 2023-2024'!B28</f>
        <v>МКД ул. Адмиральского д. 6а</v>
      </c>
      <c r="C40" s="32">
        <f>'Стоимость ПУ 2023-2024'!J28+'Стоимость ПУ 2023-2024'!K28</f>
        <v>39</v>
      </c>
      <c r="D40" s="26">
        <f>'Стоимость ПУ 2023-2024'!C28</f>
        <v>38</v>
      </c>
      <c r="E40" s="26">
        <f>'Стоимость ПУ 2023-2024'!D28</f>
        <v>1</v>
      </c>
      <c r="F40" s="60">
        <f t="shared" si="9"/>
        <v>711631.49479999999</v>
      </c>
      <c r="G40" s="27">
        <f t="shared" si="12"/>
        <v>631621.68160000001</v>
      </c>
      <c r="H40" s="27">
        <f t="shared" si="13"/>
        <v>26822.983200000002</v>
      </c>
      <c r="I40" s="27">
        <v>53058.13</v>
      </c>
      <c r="J40" s="27">
        <v>128.69999999999999</v>
      </c>
      <c r="K40" s="60">
        <f t="shared" si="10"/>
        <v>68899.55</v>
      </c>
      <c r="L40" s="33">
        <v>37738.410000000003</v>
      </c>
      <c r="M40" s="33">
        <v>31161.14</v>
      </c>
      <c r="N40" s="64">
        <f t="shared" si="11"/>
        <v>780531.04480000003</v>
      </c>
    </row>
    <row r="41" spans="1:14" s="28" customFormat="1" outlineLevel="1" x14ac:dyDescent="0.3">
      <c r="A41" s="105">
        <v>8</v>
      </c>
      <c r="B41" s="31" t="str">
        <f>'Стоимость ПУ 2023-2024'!B29</f>
        <v>МКД ул. Бутырина д. 2</v>
      </c>
      <c r="C41" s="32">
        <f>'Стоимость ПУ 2023-2024'!J29+'Стоимость ПУ 2023-2024'!K29</f>
        <v>46</v>
      </c>
      <c r="D41" s="26">
        <f>'Стоимость ПУ 2023-2024'!C29</f>
        <v>46</v>
      </c>
      <c r="E41" s="26">
        <f>'Стоимость ПУ 2023-2024'!D29</f>
        <v>0</v>
      </c>
      <c r="F41" s="60">
        <f t="shared" si="9"/>
        <v>764746.46720000007</v>
      </c>
      <c r="G41" s="27">
        <f t="shared" si="12"/>
        <v>764594.66720000003</v>
      </c>
      <c r="H41" s="27">
        <f t="shared" si="13"/>
        <v>0</v>
      </c>
      <c r="I41" s="27">
        <v>0</v>
      </c>
      <c r="J41" s="27">
        <v>151.80000000000001</v>
      </c>
      <c r="K41" s="60">
        <f t="shared" si="10"/>
        <v>65215.14</v>
      </c>
      <c r="L41" s="33">
        <v>34054</v>
      </c>
      <c r="M41" s="33">
        <v>31161.14</v>
      </c>
      <c r="N41" s="64">
        <f t="shared" si="11"/>
        <v>829961.60720000009</v>
      </c>
    </row>
    <row r="42" spans="1:14" s="28" customFormat="1" outlineLevel="1" x14ac:dyDescent="0.3">
      <c r="A42" s="105">
        <v>9</v>
      </c>
      <c r="B42" s="31" t="str">
        <f>'Стоимость ПУ 2023-2024'!B30</f>
        <v>МКД ул. Мира д. 37</v>
      </c>
      <c r="C42" s="32">
        <f>'Стоимость ПУ 2023-2024'!J30+'Стоимость ПУ 2023-2024'!K30</f>
        <v>29</v>
      </c>
      <c r="D42" s="26">
        <f>'Стоимость ПУ 2023-2024'!C30</f>
        <v>28</v>
      </c>
      <c r="E42" s="26">
        <f>'Стоимость ПУ 2023-2024'!D30</f>
        <v>1</v>
      </c>
      <c r="F42" s="60">
        <f t="shared" si="9"/>
        <v>545382.26280000003</v>
      </c>
      <c r="G42" s="27">
        <f t="shared" si="12"/>
        <v>465405.44960000005</v>
      </c>
      <c r="H42" s="27">
        <f t="shared" si="13"/>
        <v>26822.983200000002</v>
      </c>
      <c r="I42" s="27">
        <v>53058.13</v>
      </c>
      <c r="J42" s="27">
        <v>95.7</v>
      </c>
      <c r="K42" s="60">
        <f t="shared" si="10"/>
        <v>61496.5</v>
      </c>
      <c r="L42" s="33">
        <v>30335.359999999997</v>
      </c>
      <c r="M42" s="33">
        <v>31161.14</v>
      </c>
      <c r="N42" s="64">
        <f t="shared" si="11"/>
        <v>606878.76280000003</v>
      </c>
    </row>
    <row r="43" spans="1:14" s="28" customFormat="1" outlineLevel="1" x14ac:dyDescent="0.3">
      <c r="A43" s="105">
        <v>10</v>
      </c>
      <c r="B43" s="31" t="str">
        <f>'Стоимость ПУ 2023-2024'!B31</f>
        <v>МКД ул. Московская д. 36</v>
      </c>
      <c r="C43" s="32">
        <f>'Стоимость ПУ 2023-2024'!J31+'Стоимость ПУ 2023-2024'!K31</f>
        <v>22</v>
      </c>
      <c r="D43" s="26">
        <f>'Стоимость ПУ 2023-2024'!C31</f>
        <v>21</v>
      </c>
      <c r="E43" s="26">
        <f>'Стоимость ПУ 2023-2024'!D31</f>
        <v>1</v>
      </c>
      <c r="F43" s="60">
        <f t="shared" si="9"/>
        <v>429007.80040000007</v>
      </c>
      <c r="G43" s="27">
        <f t="shared" si="12"/>
        <v>349054.08720000007</v>
      </c>
      <c r="H43" s="27">
        <f t="shared" si="13"/>
        <v>26822.983200000002</v>
      </c>
      <c r="I43" s="27">
        <v>53058.13</v>
      </c>
      <c r="J43" s="27">
        <v>72.599999999999994</v>
      </c>
      <c r="K43" s="60">
        <f t="shared" si="10"/>
        <v>56314.38</v>
      </c>
      <c r="L43" s="33">
        <v>25153.239999999998</v>
      </c>
      <c r="M43" s="33">
        <v>31161.14</v>
      </c>
      <c r="N43" s="64">
        <f t="shared" si="11"/>
        <v>485322.18040000007</v>
      </c>
    </row>
    <row r="44" spans="1:14" s="28" customFormat="1" outlineLevel="1" x14ac:dyDescent="0.3">
      <c r="A44" s="105">
        <v>11</v>
      </c>
      <c r="B44" s="31" t="str">
        <f>'Стоимость ПУ 2023-2024'!B32</f>
        <v>МКД ул. Школьная д. 33 корп. 1</v>
      </c>
      <c r="C44" s="32">
        <f>'Стоимость ПУ 2023-2024'!J32+'Стоимость ПУ 2023-2024'!K32</f>
        <v>32</v>
      </c>
      <c r="D44" s="26">
        <f>'Стоимость ПУ 2023-2024'!C32</f>
        <v>31</v>
      </c>
      <c r="E44" s="26">
        <f>'Стоимость ПУ 2023-2024'!D32</f>
        <v>1</v>
      </c>
      <c r="F44" s="60">
        <f t="shared" si="9"/>
        <v>595257.03240000003</v>
      </c>
      <c r="G44" s="27">
        <f t="shared" si="12"/>
        <v>515270.31920000003</v>
      </c>
      <c r="H44" s="27">
        <f t="shared" si="13"/>
        <v>26822.983200000002</v>
      </c>
      <c r="I44" s="27">
        <v>53058.13</v>
      </c>
      <c r="J44" s="27">
        <v>105.6</v>
      </c>
      <c r="K44" s="60">
        <f t="shared" si="10"/>
        <v>63717.42</v>
      </c>
      <c r="L44" s="33">
        <v>32556.28</v>
      </c>
      <c r="M44" s="33">
        <v>31161.14</v>
      </c>
      <c r="N44" s="64">
        <f t="shared" si="11"/>
        <v>658974.45240000007</v>
      </c>
    </row>
    <row r="45" spans="1:14" s="28" customFormat="1" outlineLevel="1" x14ac:dyDescent="0.3">
      <c r="A45" s="105">
        <v>12</v>
      </c>
      <c r="B45" s="31" t="str">
        <f>'Стоимость ПУ 2023-2024'!B33</f>
        <v>МКД ул. Транзитная д. 2 корп. 6</v>
      </c>
      <c r="C45" s="32">
        <f>'Стоимость ПУ 2023-2024'!J33+'Стоимость ПУ 2023-2024'!K33</f>
        <v>68</v>
      </c>
      <c r="D45" s="26">
        <f>'Стоимость ПУ 2023-2024'!C33</f>
        <v>67</v>
      </c>
      <c r="E45" s="26">
        <f>'Стоимость ПУ 2023-2024'!D33</f>
        <v>1</v>
      </c>
      <c r="F45" s="60">
        <f t="shared" si="9"/>
        <v>1193754.2675999999</v>
      </c>
      <c r="G45" s="27">
        <f t="shared" si="12"/>
        <v>1113648.7544000002</v>
      </c>
      <c r="H45" s="27">
        <f t="shared" si="13"/>
        <v>26822.983200000002</v>
      </c>
      <c r="I45" s="27">
        <v>53058.13</v>
      </c>
      <c r="J45" s="27">
        <v>224.4</v>
      </c>
      <c r="K45" s="60">
        <f t="shared" si="10"/>
        <v>90368.37</v>
      </c>
      <c r="L45" s="33">
        <v>59207.23</v>
      </c>
      <c r="M45" s="33">
        <v>31161.14</v>
      </c>
      <c r="N45" s="64">
        <f t="shared" si="11"/>
        <v>1284122.6376</v>
      </c>
    </row>
    <row r="46" spans="1:14" s="28" customFormat="1" outlineLevel="1" x14ac:dyDescent="0.3">
      <c r="A46" s="105">
        <v>13</v>
      </c>
      <c r="B46" s="31" t="str">
        <f>'Стоимость ПУ 2023-2024'!B34</f>
        <v>МКД ул. Нежнова д. 67 корп. 3</v>
      </c>
      <c r="C46" s="32">
        <f>'Стоимость ПУ 2023-2024'!J34+'Стоимость ПУ 2023-2024'!K34</f>
        <v>29</v>
      </c>
      <c r="D46" s="26">
        <f>'Стоимость ПУ 2023-2024'!C34</f>
        <v>28</v>
      </c>
      <c r="E46" s="26">
        <f>'Стоимость ПУ 2023-2024'!D34</f>
        <v>1</v>
      </c>
      <c r="F46" s="60">
        <f t="shared" si="9"/>
        <v>545382.26280000003</v>
      </c>
      <c r="G46" s="27">
        <f t="shared" si="12"/>
        <v>465405.44960000005</v>
      </c>
      <c r="H46" s="27">
        <f t="shared" si="13"/>
        <v>26822.983200000002</v>
      </c>
      <c r="I46" s="27">
        <v>53058.13</v>
      </c>
      <c r="J46" s="27">
        <v>95.7</v>
      </c>
      <c r="K46" s="60">
        <f t="shared" si="10"/>
        <v>61496.5</v>
      </c>
      <c r="L46" s="33">
        <v>30335.359999999997</v>
      </c>
      <c r="M46" s="33">
        <v>31161.14</v>
      </c>
      <c r="N46" s="64">
        <f t="shared" si="11"/>
        <v>606878.76280000003</v>
      </c>
    </row>
    <row r="47" spans="1:14" s="28" customFormat="1" outlineLevel="1" x14ac:dyDescent="0.3">
      <c r="A47" s="105">
        <v>14</v>
      </c>
      <c r="B47" s="31" t="str">
        <f>'Стоимость ПУ 2023-2024'!B35</f>
        <v>МКД ул. Кочубея д 19 корп. 1</v>
      </c>
      <c r="C47" s="32">
        <f>'Стоимость ПУ 2023-2024'!J35+'Стоимость ПУ 2023-2024'!K35</f>
        <v>33</v>
      </c>
      <c r="D47" s="26">
        <f>'Стоимость ПУ 2023-2024'!C35</f>
        <v>33</v>
      </c>
      <c r="E47" s="26">
        <f>'Стоимость ПУ 2023-2024'!D35</f>
        <v>0</v>
      </c>
      <c r="F47" s="60">
        <f t="shared" si="9"/>
        <v>548622.46560000011</v>
      </c>
      <c r="G47" s="27">
        <f t="shared" si="12"/>
        <v>548513.56560000009</v>
      </c>
      <c r="H47" s="27">
        <f t="shared" si="13"/>
        <v>0</v>
      </c>
      <c r="I47" s="27">
        <v>0</v>
      </c>
      <c r="J47" s="27">
        <v>108.9</v>
      </c>
      <c r="K47" s="60">
        <f t="shared" si="10"/>
        <v>55591.18</v>
      </c>
      <c r="L47" s="33">
        <v>24430.04</v>
      </c>
      <c r="M47" s="33">
        <v>31161.14</v>
      </c>
      <c r="N47" s="64">
        <f t="shared" si="11"/>
        <v>604213.64560000016</v>
      </c>
    </row>
    <row r="48" spans="1:14" s="28" customFormat="1" outlineLevel="1" x14ac:dyDescent="0.3">
      <c r="A48" s="105">
        <v>15</v>
      </c>
      <c r="B48" s="31" t="str">
        <f>'Стоимость ПУ 2023-2024'!B36</f>
        <v>МКД ул. Кооперативная д. 1 корп. 2</v>
      </c>
      <c r="C48" s="32">
        <f>'Стоимость ПУ 2023-2024'!J36+'Стоимость ПУ 2023-2024'!K36</f>
        <v>16</v>
      </c>
      <c r="D48" s="26">
        <f>'Стоимость ПУ 2023-2024'!C36</f>
        <v>15</v>
      </c>
      <c r="E48" s="26">
        <f>'Стоимость ПУ 2023-2024'!D36</f>
        <v>1</v>
      </c>
      <c r="F48" s="60">
        <f t="shared" si="9"/>
        <v>329258.26120000001</v>
      </c>
      <c r="G48" s="27">
        <f t="shared" si="12"/>
        <v>249324.34800000003</v>
      </c>
      <c r="H48" s="27">
        <f t="shared" si="13"/>
        <v>26822.983200000002</v>
      </c>
      <c r="I48" s="27">
        <v>53058.13</v>
      </c>
      <c r="J48" s="27">
        <v>52.8</v>
      </c>
      <c r="K48" s="60">
        <f t="shared" si="10"/>
        <v>51872.549999999996</v>
      </c>
      <c r="L48" s="33">
        <v>20711.409999999996</v>
      </c>
      <c r="M48" s="33">
        <v>31161.14</v>
      </c>
      <c r="N48" s="64">
        <f t="shared" si="11"/>
        <v>381130.8112</v>
      </c>
    </row>
    <row r="49" spans="1:14" s="28" customFormat="1" outlineLevel="1" x14ac:dyDescent="0.3">
      <c r="A49" s="105">
        <v>16</v>
      </c>
      <c r="B49" s="31" t="str">
        <f>'Стоимость ПУ 2023-2024'!B37</f>
        <v>МКД ул. Розы Люксембург д. 42</v>
      </c>
      <c r="C49" s="32">
        <f>'Стоимость ПУ 2023-2024'!J37+'Стоимость ПУ 2023-2024'!K37</f>
        <v>74</v>
      </c>
      <c r="D49" s="26">
        <f>'Стоимость ПУ 2023-2024'!C37</f>
        <v>73</v>
      </c>
      <c r="E49" s="26">
        <f>'Стоимость ПУ 2023-2024'!D37</f>
        <v>1</v>
      </c>
      <c r="F49" s="60">
        <f t="shared" si="9"/>
        <v>1293503.8067999999</v>
      </c>
      <c r="G49" s="27">
        <f t="shared" si="12"/>
        <v>1213378.4936000002</v>
      </c>
      <c r="H49" s="27">
        <f t="shared" si="13"/>
        <v>26822.983200000002</v>
      </c>
      <c r="I49" s="27">
        <v>53058.13</v>
      </c>
      <c r="J49" s="27">
        <v>244.2</v>
      </c>
      <c r="K49" s="60">
        <f t="shared" si="10"/>
        <v>94810.19</v>
      </c>
      <c r="L49" s="33">
        <v>63649.05</v>
      </c>
      <c r="M49" s="33">
        <v>31161.14</v>
      </c>
      <c r="N49" s="64">
        <f t="shared" si="11"/>
        <v>1388313.9967999998</v>
      </c>
    </row>
    <row r="50" spans="1:14" s="28" customFormat="1" outlineLevel="1" x14ac:dyDescent="0.3">
      <c r="A50" s="105">
        <v>17</v>
      </c>
      <c r="B50" s="31" t="str">
        <f>'Стоимость ПУ 2023-2024'!B38</f>
        <v>МКД ул. Красная д. 11</v>
      </c>
      <c r="C50" s="32">
        <f>'Стоимость ПУ 2023-2024'!J38+'Стоимость ПУ 2023-2024'!K38</f>
        <v>11</v>
      </c>
      <c r="D50" s="26">
        <f>'Стоимость ПУ 2023-2024'!C38</f>
        <v>10</v>
      </c>
      <c r="E50" s="26">
        <f>'Стоимость ПУ 2023-2024'!D38</f>
        <v>1</v>
      </c>
      <c r="F50" s="60">
        <f t="shared" si="9"/>
        <v>246133.64520000003</v>
      </c>
      <c r="G50" s="27">
        <f t="shared" si="12"/>
        <v>166216.23200000002</v>
      </c>
      <c r="H50" s="27">
        <f t="shared" si="13"/>
        <v>26822.983200000002</v>
      </c>
      <c r="I50" s="27">
        <v>53058.13</v>
      </c>
      <c r="J50" s="27">
        <v>36.299999999999997</v>
      </c>
      <c r="K50" s="60">
        <f t="shared" si="10"/>
        <v>48171.040000000001</v>
      </c>
      <c r="L50" s="33">
        <v>17009.900000000001</v>
      </c>
      <c r="M50" s="33">
        <v>31161.14</v>
      </c>
      <c r="N50" s="64">
        <f t="shared" si="11"/>
        <v>294304.68520000001</v>
      </c>
    </row>
    <row r="51" spans="1:14" s="28" customFormat="1" outlineLevel="1" x14ac:dyDescent="0.3">
      <c r="A51" s="105">
        <v>18</v>
      </c>
      <c r="B51" s="31" t="str">
        <f>'Стоимость ПУ 2023-2024'!B39</f>
        <v>МКД ул. Коллективная д. 3</v>
      </c>
      <c r="C51" s="32">
        <f>'Стоимость ПУ 2023-2024'!J39+'Стоимость ПУ 2023-2024'!K39</f>
        <v>14</v>
      </c>
      <c r="D51" s="26">
        <f>'Стоимость ПУ 2023-2024'!C39</f>
        <v>13</v>
      </c>
      <c r="E51" s="26">
        <f>'Стоимость ПУ 2023-2024'!D39</f>
        <v>1</v>
      </c>
      <c r="F51" s="60">
        <f t="shared" si="9"/>
        <v>296008.41480000003</v>
      </c>
      <c r="G51" s="27">
        <f t="shared" si="12"/>
        <v>216081.10160000002</v>
      </c>
      <c r="H51" s="27">
        <f t="shared" si="13"/>
        <v>26822.983200000002</v>
      </c>
      <c r="I51" s="27">
        <v>53058.13</v>
      </c>
      <c r="J51" s="27">
        <v>46.2</v>
      </c>
      <c r="K51" s="60">
        <f t="shared" si="10"/>
        <v>50391.95</v>
      </c>
      <c r="L51" s="33">
        <v>19230.809999999998</v>
      </c>
      <c r="M51" s="33">
        <v>31161.14</v>
      </c>
      <c r="N51" s="64">
        <f t="shared" si="11"/>
        <v>346400.36480000004</v>
      </c>
    </row>
    <row r="52" spans="1:14" x14ac:dyDescent="0.3">
      <c r="A52" s="129" t="s">
        <v>14</v>
      </c>
      <c r="B52" s="130" t="s">
        <v>108</v>
      </c>
      <c r="C52" s="131">
        <f t="shared" ref="C52:N52" si="14">SUM(C34:C51)</f>
        <v>618</v>
      </c>
      <c r="D52" s="131">
        <f t="shared" si="14"/>
        <v>602</v>
      </c>
      <c r="E52" s="131">
        <f t="shared" si="14"/>
        <v>16</v>
      </c>
      <c r="F52" s="132">
        <f t="shared" si="14"/>
        <v>11286354.377599999</v>
      </c>
      <c r="G52" s="132">
        <f t="shared" si="14"/>
        <v>10006217.166400002</v>
      </c>
      <c r="H52" s="132">
        <f t="shared" si="14"/>
        <v>429167.73120000021</v>
      </c>
      <c r="I52" s="132">
        <f t="shared" si="14"/>
        <v>848930.08</v>
      </c>
      <c r="J52" s="132">
        <f t="shared" si="14"/>
        <v>2039.4</v>
      </c>
      <c r="K52" s="132">
        <f t="shared" si="14"/>
        <v>1160273.2300000002</v>
      </c>
      <c r="L52" s="132">
        <f t="shared" si="14"/>
        <v>599372.71</v>
      </c>
      <c r="M52" s="132">
        <f t="shared" si="14"/>
        <v>560900.52000000014</v>
      </c>
      <c r="N52" s="132">
        <f t="shared" si="14"/>
        <v>12446627.607600003</v>
      </c>
    </row>
    <row r="53" spans="1:14" ht="24.75" customHeight="1" x14ac:dyDescent="0.3">
      <c r="A53" s="174" t="s">
        <v>110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6"/>
    </row>
    <row r="54" spans="1:14" s="29" customFormat="1" x14ac:dyDescent="0.3">
      <c r="A54" s="105">
        <v>1</v>
      </c>
      <c r="B54" s="25" t="str">
        <f>'Стоимость ПУ 2023-2024'!B42</f>
        <v>МКД пр-т. Калинина д. 2 корп. 1</v>
      </c>
      <c r="C54" s="26">
        <f>'Стоимость ПУ 2023-2024'!C42+'Стоимость ПУ 2023-2024'!D42</f>
        <v>67</v>
      </c>
      <c r="D54" s="26">
        <f>'Стоимость ПУ 2023-2024'!C42</f>
        <v>66</v>
      </c>
      <c r="E54" s="26">
        <f>'Стоимость ПУ 2023-2024'!D42</f>
        <v>1</v>
      </c>
      <c r="F54" s="60">
        <f t="shared" ref="F54:F74" si="15">G54+H54+J54+I54</f>
        <v>1224205.6689760003</v>
      </c>
      <c r="G54" s="27">
        <f>D54*$E$5</f>
        <v>1140908.2164480002</v>
      </c>
      <c r="H54" s="27">
        <f>E54*$E$6</f>
        <v>27895.902528000002</v>
      </c>
      <c r="I54" s="27">
        <v>55180.45</v>
      </c>
      <c r="J54" s="27">
        <v>221.1</v>
      </c>
      <c r="K54" s="60">
        <f t="shared" ref="K54:K74" si="16">L54+M54</f>
        <v>90874.5</v>
      </c>
      <c r="L54" s="27">
        <v>58466.93</v>
      </c>
      <c r="M54" s="27">
        <v>32407.57</v>
      </c>
      <c r="N54" s="60">
        <f>F54+K54</f>
        <v>1315080.1689760003</v>
      </c>
    </row>
    <row r="55" spans="1:14" s="29" customFormat="1" outlineLevel="1" x14ac:dyDescent="0.3">
      <c r="A55" s="105">
        <v>2</v>
      </c>
      <c r="B55" s="25" t="str">
        <f>'Стоимость ПУ 2023-2024'!B43</f>
        <v>МКД пр-т. Калинина д. 2 корп. 2</v>
      </c>
      <c r="C55" s="26">
        <f>'Стоимость ПУ 2023-2024'!C43+'Стоимость ПУ 2023-2024'!D43</f>
        <v>27</v>
      </c>
      <c r="D55" s="26">
        <f>'Стоимость ПУ 2023-2024'!C43</f>
        <v>26</v>
      </c>
      <c r="E55" s="26">
        <f>'Стоимость ПУ 2023-2024'!D43</f>
        <v>1</v>
      </c>
      <c r="F55" s="60">
        <f t="shared" si="15"/>
        <v>532614.14385600004</v>
      </c>
      <c r="G55" s="27">
        <f t="shared" ref="G55:G74" si="17">D55*$E$5</f>
        <v>449448.69132800004</v>
      </c>
      <c r="H55" s="27">
        <f t="shared" ref="H55:H74" si="18">E55*$E$6</f>
        <v>27895.902528000002</v>
      </c>
      <c r="I55" s="27">
        <v>55180.45</v>
      </c>
      <c r="J55" s="27">
        <v>89.1</v>
      </c>
      <c r="K55" s="60">
        <f t="shared" si="16"/>
        <v>61262.32</v>
      </c>
      <c r="L55" s="27">
        <v>28854.75</v>
      </c>
      <c r="M55" s="27">
        <v>32407.57</v>
      </c>
      <c r="N55" s="60">
        <f t="shared" ref="N55:N74" si="19">F55+K55</f>
        <v>593876.46385599999</v>
      </c>
    </row>
    <row r="56" spans="1:14" s="29" customFormat="1" outlineLevel="1" x14ac:dyDescent="0.3">
      <c r="A56" s="105">
        <v>3</v>
      </c>
      <c r="B56" s="25" t="str">
        <f>'Стоимость ПУ 2023-2024'!B44</f>
        <v>МКД пр-т. Калинина д. 2 корп. 3</v>
      </c>
      <c r="C56" s="26">
        <f>'Стоимость ПУ 2023-2024'!C44+'Стоимость ПУ 2023-2024'!D44</f>
        <v>39</v>
      </c>
      <c r="D56" s="26">
        <f>'Стоимость ПУ 2023-2024'!C44</f>
        <v>38</v>
      </c>
      <c r="E56" s="26">
        <f>'Стоимость ПУ 2023-2024'!D44</f>
        <v>1</v>
      </c>
      <c r="F56" s="60">
        <f t="shared" si="15"/>
        <v>740091.60139199987</v>
      </c>
      <c r="G56" s="27">
        <f t="shared" si="17"/>
        <v>656886.54886400001</v>
      </c>
      <c r="H56" s="27">
        <f t="shared" si="18"/>
        <v>27895.902528000002</v>
      </c>
      <c r="I56" s="27">
        <v>55180.45</v>
      </c>
      <c r="J56" s="27">
        <v>128.69999999999999</v>
      </c>
      <c r="K56" s="60">
        <f t="shared" si="16"/>
        <v>70145.98000000001</v>
      </c>
      <c r="L56" s="27">
        <v>37738.410000000003</v>
      </c>
      <c r="M56" s="27">
        <v>32407.57</v>
      </c>
      <c r="N56" s="60">
        <f t="shared" si="19"/>
        <v>810237.58139199985</v>
      </c>
    </row>
    <row r="57" spans="1:14" s="28" customFormat="1" outlineLevel="1" x14ac:dyDescent="0.3">
      <c r="A57" s="105">
        <v>4</v>
      </c>
      <c r="B57" s="25" t="str">
        <f>'Стоимость ПУ 2023-2024'!B45</f>
        <v>МКД пр-т. Калинина д. 2 корп. 5</v>
      </c>
      <c r="C57" s="26">
        <f>'Стоимость ПУ 2023-2024'!C45+'Стоимость ПУ 2023-2024'!D45</f>
        <v>16</v>
      </c>
      <c r="D57" s="26">
        <f>'Стоимость ПУ 2023-2024'!C45</f>
        <v>15</v>
      </c>
      <c r="E57" s="26">
        <f>'Стоимость ПУ 2023-2024'!D45</f>
        <v>1</v>
      </c>
      <c r="F57" s="60">
        <f t="shared" si="15"/>
        <v>342426.47444800002</v>
      </c>
      <c r="G57" s="27">
        <f t="shared" si="17"/>
        <v>259297.32192000002</v>
      </c>
      <c r="H57" s="27">
        <f t="shared" si="18"/>
        <v>27895.902528000002</v>
      </c>
      <c r="I57" s="27">
        <v>55180.45</v>
      </c>
      <c r="J57" s="27">
        <v>52.8</v>
      </c>
      <c r="K57" s="60">
        <f t="shared" si="16"/>
        <v>53118.979999999996</v>
      </c>
      <c r="L57" s="27">
        <v>20711.409999999996</v>
      </c>
      <c r="M57" s="27">
        <v>32407.57</v>
      </c>
      <c r="N57" s="60">
        <f t="shared" si="19"/>
        <v>395545.454448</v>
      </c>
    </row>
    <row r="58" spans="1:14" s="28" customFormat="1" outlineLevel="1" x14ac:dyDescent="0.3">
      <c r="A58" s="105">
        <v>5</v>
      </c>
      <c r="B58" s="25" t="str">
        <f>'Стоимость ПУ 2023-2024'!B46</f>
        <v>МКД пр-т. Калинина д. 150</v>
      </c>
      <c r="C58" s="26">
        <f>'Стоимость ПУ 2023-2024'!C46+'Стоимость ПУ 2023-2024'!D46</f>
        <v>26</v>
      </c>
      <c r="D58" s="26">
        <f>'Стоимость ПУ 2023-2024'!C46</f>
        <v>25</v>
      </c>
      <c r="E58" s="26">
        <f>'Стоимость ПУ 2023-2024'!D46</f>
        <v>1</v>
      </c>
      <c r="F58" s="60">
        <f t="shared" si="15"/>
        <v>515324.35572800005</v>
      </c>
      <c r="G58" s="27">
        <f t="shared" si="17"/>
        <v>432162.20320000005</v>
      </c>
      <c r="H58" s="27">
        <f t="shared" si="18"/>
        <v>27895.902528000002</v>
      </c>
      <c r="I58" s="27">
        <v>55180.45</v>
      </c>
      <c r="J58" s="27">
        <v>85.8</v>
      </c>
      <c r="K58" s="60">
        <f t="shared" si="16"/>
        <v>60522.02</v>
      </c>
      <c r="L58" s="27">
        <v>28114.449999999997</v>
      </c>
      <c r="M58" s="27">
        <v>32407.57</v>
      </c>
      <c r="N58" s="60">
        <f t="shared" si="19"/>
        <v>575846.37572800007</v>
      </c>
    </row>
    <row r="59" spans="1:14" s="28" customFormat="1" outlineLevel="1" x14ac:dyDescent="0.3">
      <c r="A59" s="105">
        <v>6</v>
      </c>
      <c r="B59" s="25" t="str">
        <f>'Стоимость ПУ 2023-2024'!B47</f>
        <v>МКД пр-т. Калинина д. 154</v>
      </c>
      <c r="C59" s="26">
        <f>'Стоимость ПУ 2023-2024'!C47+'Стоимость ПУ 2023-2024'!D47</f>
        <v>33</v>
      </c>
      <c r="D59" s="26">
        <f>'Стоимость ПУ 2023-2024'!C47</f>
        <v>32</v>
      </c>
      <c r="E59" s="26">
        <f>'Стоимость ПУ 2023-2024'!D47</f>
        <v>1</v>
      </c>
      <c r="F59" s="60">
        <f t="shared" si="15"/>
        <v>636352.87262399995</v>
      </c>
      <c r="G59" s="27">
        <f t="shared" si="17"/>
        <v>553167.62009600003</v>
      </c>
      <c r="H59" s="27">
        <f t="shared" si="18"/>
        <v>27895.902528000002</v>
      </c>
      <c r="I59" s="27">
        <v>55180.45</v>
      </c>
      <c r="J59" s="27">
        <v>108.9</v>
      </c>
      <c r="K59" s="60">
        <f t="shared" si="16"/>
        <v>65704.160000000003</v>
      </c>
      <c r="L59" s="27">
        <v>33296.589999999997</v>
      </c>
      <c r="M59" s="27">
        <v>32407.57</v>
      </c>
      <c r="N59" s="60">
        <f t="shared" si="19"/>
        <v>702057.03262399998</v>
      </c>
    </row>
    <row r="60" spans="1:14" s="28" customFormat="1" outlineLevel="1" x14ac:dyDescent="0.3">
      <c r="A60" s="105">
        <v>7</v>
      </c>
      <c r="B60" s="25" t="str">
        <f>'Стоимость ПУ 2023-2024'!B48</f>
        <v>МКД пр-т. Калинина д. 156</v>
      </c>
      <c r="C60" s="26">
        <f>'Стоимость ПУ 2023-2024'!C48+'Стоимость ПУ 2023-2024'!D48</f>
        <v>32</v>
      </c>
      <c r="D60" s="26">
        <f>'Стоимость ПУ 2023-2024'!C48</f>
        <v>31</v>
      </c>
      <c r="E60" s="26">
        <f>'Стоимость ПУ 2023-2024'!D48</f>
        <v>1</v>
      </c>
      <c r="F60" s="60">
        <f t="shared" si="15"/>
        <v>619063.08449599985</v>
      </c>
      <c r="G60" s="27">
        <f t="shared" si="17"/>
        <v>535881.13196799997</v>
      </c>
      <c r="H60" s="27">
        <f t="shared" si="18"/>
        <v>27895.902528000002</v>
      </c>
      <c r="I60" s="27">
        <v>55180.45</v>
      </c>
      <c r="J60" s="27">
        <v>105.6</v>
      </c>
      <c r="K60" s="60">
        <f t="shared" si="16"/>
        <v>64963.85</v>
      </c>
      <c r="L60" s="27">
        <v>32556.28</v>
      </c>
      <c r="M60" s="27">
        <v>32407.57</v>
      </c>
      <c r="N60" s="60">
        <f t="shared" si="19"/>
        <v>684026.93449599983</v>
      </c>
    </row>
    <row r="61" spans="1:14" s="28" customFormat="1" outlineLevel="1" x14ac:dyDescent="0.3">
      <c r="A61" s="105">
        <v>8</v>
      </c>
      <c r="B61" s="25" t="str">
        <f>'Стоимость ПУ 2023-2024'!B49</f>
        <v>МКД ул. Воровского  д. 78А</v>
      </c>
      <c r="C61" s="26">
        <f>'Стоимость ПУ 2023-2024'!C49+'Стоимость ПУ 2023-2024'!D49</f>
        <v>83</v>
      </c>
      <c r="D61" s="26">
        <f>'Стоимость ПУ 2023-2024'!C49</f>
        <v>82</v>
      </c>
      <c r="E61" s="26">
        <f>'Стоимость ПУ 2023-2024'!D49</f>
        <v>1</v>
      </c>
      <c r="F61" s="60">
        <f t="shared" si="15"/>
        <v>1500842.279024</v>
      </c>
      <c r="G61" s="27">
        <f t="shared" si="17"/>
        <v>1417492.0264960001</v>
      </c>
      <c r="H61" s="27">
        <f t="shared" si="18"/>
        <v>27895.902528000002</v>
      </c>
      <c r="I61" s="27">
        <v>55180.45</v>
      </c>
      <c r="J61" s="27">
        <v>273.89999999999998</v>
      </c>
      <c r="K61" s="60">
        <f t="shared" si="16"/>
        <v>102719.37</v>
      </c>
      <c r="L61" s="27">
        <v>70311.8</v>
      </c>
      <c r="M61" s="27">
        <v>32407.57</v>
      </c>
      <c r="N61" s="60">
        <f t="shared" si="19"/>
        <v>1603561.6490239999</v>
      </c>
    </row>
    <row r="62" spans="1:14" s="28" customFormat="1" outlineLevel="1" x14ac:dyDescent="0.3">
      <c r="A62" s="105">
        <v>9</v>
      </c>
      <c r="B62" s="25" t="str">
        <f>'Стоимость ПУ 2023-2024'!B50</f>
        <v>МКД ул. Ермолова д. 225 корп. 1</v>
      </c>
      <c r="C62" s="26">
        <f>'Стоимость ПУ 2023-2024'!C50+'Стоимость ПУ 2023-2024'!D50</f>
        <v>67</v>
      </c>
      <c r="D62" s="26">
        <f>'Стоимость ПУ 2023-2024'!C50</f>
        <v>66</v>
      </c>
      <c r="E62" s="26">
        <f>'Стоимость ПУ 2023-2024'!D50</f>
        <v>1</v>
      </c>
      <c r="F62" s="60">
        <f t="shared" si="15"/>
        <v>1224205.6689760003</v>
      </c>
      <c r="G62" s="27">
        <f t="shared" si="17"/>
        <v>1140908.2164480002</v>
      </c>
      <c r="H62" s="27">
        <f t="shared" si="18"/>
        <v>27895.902528000002</v>
      </c>
      <c r="I62" s="27">
        <v>55180.45</v>
      </c>
      <c r="J62" s="27">
        <v>221.1</v>
      </c>
      <c r="K62" s="60">
        <f t="shared" si="16"/>
        <v>90874.5</v>
      </c>
      <c r="L62" s="27">
        <v>58466.93</v>
      </c>
      <c r="M62" s="27">
        <v>32407.57</v>
      </c>
      <c r="N62" s="60">
        <f t="shared" si="19"/>
        <v>1315080.1689760003</v>
      </c>
    </row>
    <row r="63" spans="1:14" s="28" customFormat="1" outlineLevel="1" x14ac:dyDescent="0.3">
      <c r="A63" s="105">
        <v>10</v>
      </c>
      <c r="B63" s="25" t="str">
        <f>'Стоимость ПУ 2023-2024'!B51</f>
        <v>МКД ул. Ессентукская д. 72</v>
      </c>
      <c r="C63" s="26">
        <f>'Стоимость ПУ 2023-2024'!C51+'Стоимость ПУ 2023-2024'!D51</f>
        <v>35</v>
      </c>
      <c r="D63" s="26">
        <f>'Стоимость ПУ 2023-2024'!C51</f>
        <v>34</v>
      </c>
      <c r="E63" s="26">
        <f>'Стоимость ПУ 2023-2024'!D51</f>
        <v>1</v>
      </c>
      <c r="F63" s="60">
        <f t="shared" si="15"/>
        <v>670932.44887999992</v>
      </c>
      <c r="G63" s="27">
        <f t="shared" si="17"/>
        <v>587740.59635200002</v>
      </c>
      <c r="H63" s="27">
        <f t="shared" si="18"/>
        <v>27895.902528000002</v>
      </c>
      <c r="I63" s="27">
        <v>55180.45</v>
      </c>
      <c r="J63" s="27">
        <v>115.5</v>
      </c>
      <c r="K63" s="60">
        <f t="shared" si="16"/>
        <v>67184.760000000009</v>
      </c>
      <c r="L63" s="27">
        <v>34777.19</v>
      </c>
      <c r="M63" s="27">
        <v>32407.57</v>
      </c>
      <c r="N63" s="60">
        <f t="shared" si="19"/>
        <v>738117.20887999993</v>
      </c>
    </row>
    <row r="64" spans="1:14" s="28" customFormat="1" outlineLevel="1" x14ac:dyDescent="0.3">
      <c r="A64" s="105">
        <v>11</v>
      </c>
      <c r="B64" s="25" t="str">
        <f>'Стоимость ПУ 2023-2024'!B52</f>
        <v>МКД ул. Железнодорожная д. 125</v>
      </c>
      <c r="C64" s="26">
        <f>'Стоимость ПУ 2023-2024'!C52+'Стоимость ПУ 2023-2024'!D52</f>
        <v>70</v>
      </c>
      <c r="D64" s="26">
        <f>'Стоимость ПУ 2023-2024'!C52</f>
        <v>69</v>
      </c>
      <c r="E64" s="26">
        <f>'Стоимость ПУ 2023-2024'!D52</f>
        <v>1</v>
      </c>
      <c r="F64" s="60">
        <f t="shared" si="15"/>
        <v>1276075.03336</v>
      </c>
      <c r="G64" s="27">
        <f t="shared" si="17"/>
        <v>1192767.680832</v>
      </c>
      <c r="H64" s="27">
        <f t="shared" si="18"/>
        <v>27895.902528000002</v>
      </c>
      <c r="I64" s="27">
        <v>55180.45</v>
      </c>
      <c r="J64" s="27">
        <v>231</v>
      </c>
      <c r="K64" s="60">
        <f t="shared" si="16"/>
        <v>93095.41</v>
      </c>
      <c r="L64" s="27">
        <v>60687.840000000004</v>
      </c>
      <c r="M64" s="27">
        <v>32407.57</v>
      </c>
      <c r="N64" s="60">
        <f t="shared" si="19"/>
        <v>1369170.4433599999</v>
      </c>
    </row>
    <row r="65" spans="1:14" s="28" customFormat="1" outlineLevel="1" x14ac:dyDescent="0.3">
      <c r="A65" s="105">
        <v>12</v>
      </c>
      <c r="B65" s="25" t="str">
        <f>'Стоимость ПУ 2023-2024'!B53</f>
        <v>МКД ул. Кучуры д. 18</v>
      </c>
      <c r="C65" s="26">
        <f>'Стоимость ПУ 2023-2024'!C53+'Стоимость ПУ 2023-2024'!D53</f>
        <v>32</v>
      </c>
      <c r="D65" s="26">
        <f>'Стоимость ПУ 2023-2024'!C53</f>
        <v>31</v>
      </c>
      <c r="E65" s="26">
        <f>'Стоимость ПУ 2023-2024'!D53</f>
        <v>1</v>
      </c>
      <c r="F65" s="60">
        <f t="shared" si="15"/>
        <v>619063.08449599985</v>
      </c>
      <c r="G65" s="27">
        <f t="shared" si="17"/>
        <v>535881.13196799997</v>
      </c>
      <c r="H65" s="27">
        <f t="shared" si="18"/>
        <v>27895.902528000002</v>
      </c>
      <c r="I65" s="27">
        <v>55180.45</v>
      </c>
      <c r="J65" s="27">
        <v>105.6</v>
      </c>
      <c r="K65" s="60">
        <f t="shared" si="16"/>
        <v>64963.85</v>
      </c>
      <c r="L65" s="27">
        <v>32556.28</v>
      </c>
      <c r="M65" s="27">
        <v>32407.57</v>
      </c>
      <c r="N65" s="60">
        <f t="shared" si="19"/>
        <v>684026.93449599983</v>
      </c>
    </row>
    <row r="66" spans="1:14" s="28" customFormat="1" outlineLevel="1" x14ac:dyDescent="0.3">
      <c r="A66" s="105">
        <v>13</v>
      </c>
      <c r="B66" s="25" t="str">
        <f>'Стоимость ПУ 2023-2024'!B54</f>
        <v>МКД ул. Кучуры д. 20</v>
      </c>
      <c r="C66" s="26">
        <f>'Стоимость ПУ 2023-2024'!C54+'Стоимость ПУ 2023-2024'!D54</f>
        <v>25</v>
      </c>
      <c r="D66" s="26">
        <f>'Стоимость ПУ 2023-2024'!C54</f>
        <v>24</v>
      </c>
      <c r="E66" s="26">
        <f>'Стоимость ПУ 2023-2024'!D54</f>
        <v>1</v>
      </c>
      <c r="F66" s="60">
        <f t="shared" si="15"/>
        <v>498034.56760000007</v>
      </c>
      <c r="G66" s="27">
        <f t="shared" si="17"/>
        <v>414875.71507200005</v>
      </c>
      <c r="H66" s="27">
        <f t="shared" si="18"/>
        <v>27895.902528000002</v>
      </c>
      <c r="I66" s="27">
        <v>55180.45</v>
      </c>
      <c r="J66" s="27">
        <v>82.5</v>
      </c>
      <c r="K66" s="60">
        <f t="shared" si="16"/>
        <v>59781.72</v>
      </c>
      <c r="L66" s="27">
        <v>27374.15</v>
      </c>
      <c r="M66" s="27">
        <v>32407.57</v>
      </c>
      <c r="N66" s="60">
        <f t="shared" si="19"/>
        <v>557816.28760000004</v>
      </c>
    </row>
    <row r="67" spans="1:14" s="28" customFormat="1" outlineLevel="1" x14ac:dyDescent="0.3">
      <c r="A67" s="105">
        <v>14</v>
      </c>
      <c r="B67" s="25" t="str">
        <f>'Стоимость ПУ 2023-2024'!B55</f>
        <v>МКД ул. Мира д. 35</v>
      </c>
      <c r="C67" s="26">
        <f>'Стоимость ПУ 2023-2024'!C55+'Стоимость ПУ 2023-2024'!D55</f>
        <v>21</v>
      </c>
      <c r="D67" s="26">
        <f>'Стоимость ПУ 2023-2024'!C55</f>
        <v>20</v>
      </c>
      <c r="E67" s="26">
        <f>'Стоимость ПУ 2023-2024'!D55</f>
        <v>1</v>
      </c>
      <c r="F67" s="60">
        <f t="shared" si="15"/>
        <v>428875.41508800001</v>
      </c>
      <c r="G67" s="27">
        <f t="shared" si="17"/>
        <v>345729.76256</v>
      </c>
      <c r="H67" s="27">
        <f t="shared" si="18"/>
        <v>27895.902528000002</v>
      </c>
      <c r="I67" s="27">
        <v>55180.45</v>
      </c>
      <c r="J67" s="27">
        <v>69.3</v>
      </c>
      <c r="K67" s="60">
        <f t="shared" si="16"/>
        <v>56820.5</v>
      </c>
      <c r="L67" s="27">
        <v>24412.93</v>
      </c>
      <c r="M67" s="27">
        <v>32407.57</v>
      </c>
      <c r="N67" s="60">
        <f t="shared" si="19"/>
        <v>485695.91508800001</v>
      </c>
    </row>
    <row r="68" spans="1:14" s="28" customFormat="1" outlineLevel="1" x14ac:dyDescent="0.3">
      <c r="A68" s="105">
        <v>15</v>
      </c>
      <c r="B68" s="25" t="str">
        <f>'Стоимость ПУ 2023-2024'!B56</f>
        <v>МКД ул. Мира д. 46</v>
      </c>
      <c r="C68" s="26">
        <f>'Стоимость ПУ 2023-2024'!C56+'Стоимость ПУ 2023-2024'!D56</f>
        <v>29</v>
      </c>
      <c r="D68" s="26">
        <f>'Стоимость ПУ 2023-2024'!C56</f>
        <v>28</v>
      </c>
      <c r="E68" s="26">
        <f>'Стоимость ПУ 2023-2024'!D56</f>
        <v>1</v>
      </c>
      <c r="F68" s="60">
        <f t="shared" si="15"/>
        <v>567193.72011200001</v>
      </c>
      <c r="G68" s="27">
        <f t="shared" si="17"/>
        <v>484021.66758400004</v>
      </c>
      <c r="H68" s="27">
        <f t="shared" si="18"/>
        <v>27895.902528000002</v>
      </c>
      <c r="I68" s="27">
        <v>55180.45</v>
      </c>
      <c r="J68" s="27">
        <v>95.7</v>
      </c>
      <c r="K68" s="60">
        <f t="shared" si="16"/>
        <v>62742.929999999993</v>
      </c>
      <c r="L68" s="27">
        <v>30335.359999999997</v>
      </c>
      <c r="M68" s="27">
        <v>32407.57</v>
      </c>
      <c r="N68" s="60">
        <f t="shared" si="19"/>
        <v>629936.65011200006</v>
      </c>
    </row>
    <row r="69" spans="1:14" s="28" customFormat="1" outlineLevel="1" x14ac:dyDescent="0.3">
      <c r="A69" s="105">
        <v>16</v>
      </c>
      <c r="B69" s="25" t="str">
        <f>'Стоимость ПУ 2023-2024'!B57</f>
        <v>МКД ул. Московская д. 32А</v>
      </c>
      <c r="C69" s="26">
        <f>'Стоимость ПУ 2023-2024'!C57+'Стоимость ПУ 2023-2024'!D57</f>
        <v>16</v>
      </c>
      <c r="D69" s="26">
        <f>'Стоимость ПУ 2023-2024'!C57</f>
        <v>15</v>
      </c>
      <c r="E69" s="26">
        <f>'Стоимость ПУ 2023-2024'!D57</f>
        <v>1</v>
      </c>
      <c r="F69" s="60">
        <f t="shared" si="15"/>
        <v>342426.47444800002</v>
      </c>
      <c r="G69" s="27">
        <f t="shared" si="17"/>
        <v>259297.32192000002</v>
      </c>
      <c r="H69" s="27">
        <f t="shared" si="18"/>
        <v>27895.902528000002</v>
      </c>
      <c r="I69" s="27">
        <v>55180.45</v>
      </c>
      <c r="J69" s="27">
        <v>52.8</v>
      </c>
      <c r="K69" s="60">
        <f t="shared" si="16"/>
        <v>53118.979999999996</v>
      </c>
      <c r="L69" s="27">
        <v>20711.409999999996</v>
      </c>
      <c r="M69" s="27">
        <v>32407.57</v>
      </c>
      <c r="N69" s="60">
        <f t="shared" si="19"/>
        <v>395545.454448</v>
      </c>
    </row>
    <row r="70" spans="1:14" s="28" customFormat="1" outlineLevel="1" x14ac:dyDescent="0.3">
      <c r="A70" s="105">
        <v>17</v>
      </c>
      <c r="B70" s="25" t="str">
        <f>'Стоимость ПУ 2023-2024'!B58</f>
        <v>МКД ул. Первомайская д. 92 корп. 5</v>
      </c>
      <c r="C70" s="26">
        <f>'Стоимость ПУ 2023-2024'!C58+'Стоимость ПУ 2023-2024'!D58</f>
        <v>17</v>
      </c>
      <c r="D70" s="26">
        <f>'Стоимость ПУ 2023-2024'!C58</f>
        <v>16</v>
      </c>
      <c r="E70" s="26">
        <f>'Стоимость ПУ 2023-2024'!D58</f>
        <v>1</v>
      </c>
      <c r="F70" s="60">
        <f t="shared" si="15"/>
        <v>359716.26257600001</v>
      </c>
      <c r="G70" s="27">
        <f t="shared" si="17"/>
        <v>276583.81004800001</v>
      </c>
      <c r="H70" s="27">
        <f t="shared" si="18"/>
        <v>27895.902528000002</v>
      </c>
      <c r="I70" s="27">
        <v>55180.45</v>
      </c>
      <c r="J70" s="27">
        <v>56.1</v>
      </c>
      <c r="K70" s="60">
        <f t="shared" si="16"/>
        <v>53859.289999999994</v>
      </c>
      <c r="L70" s="27">
        <v>21451.719999999998</v>
      </c>
      <c r="M70" s="27">
        <v>32407.57</v>
      </c>
      <c r="N70" s="60">
        <f t="shared" si="19"/>
        <v>413575.55257599999</v>
      </c>
    </row>
    <row r="71" spans="1:14" s="28" customFormat="1" outlineLevel="1" x14ac:dyDescent="0.3">
      <c r="A71" s="105">
        <v>18</v>
      </c>
      <c r="B71" s="25" t="str">
        <f>'Стоимость ПУ 2023-2024'!B59</f>
        <v>МКД ул. Теплосерная д. 123А</v>
      </c>
      <c r="C71" s="26">
        <f>'Стоимость ПУ 2023-2024'!C59+'Стоимость ПУ 2023-2024'!D59</f>
        <v>52</v>
      </c>
      <c r="D71" s="26">
        <f>'Стоимость ПУ 2023-2024'!C59</f>
        <v>51</v>
      </c>
      <c r="E71" s="26">
        <f>'Стоимость ПУ 2023-2024'!D59</f>
        <v>1</v>
      </c>
      <c r="F71" s="60">
        <f t="shared" si="15"/>
        <v>964858.84705599991</v>
      </c>
      <c r="G71" s="27">
        <f t="shared" si="17"/>
        <v>881610.89452800003</v>
      </c>
      <c r="H71" s="27">
        <f t="shared" si="18"/>
        <v>27895.902528000002</v>
      </c>
      <c r="I71" s="27">
        <v>55180.45</v>
      </c>
      <c r="J71" s="27">
        <v>171.6</v>
      </c>
      <c r="K71" s="60">
        <f t="shared" si="16"/>
        <v>79769.929999999993</v>
      </c>
      <c r="L71" s="27">
        <v>47362.36</v>
      </c>
      <c r="M71" s="27">
        <v>32407.57</v>
      </c>
      <c r="N71" s="60">
        <f t="shared" si="19"/>
        <v>1044628.777056</v>
      </c>
    </row>
    <row r="72" spans="1:14" s="28" customFormat="1" outlineLevel="1" x14ac:dyDescent="0.3">
      <c r="A72" s="105">
        <v>19</v>
      </c>
      <c r="B72" s="25" t="str">
        <f>'Стоимость ПУ 2023-2024'!B60</f>
        <v>МКД ул. Сергеева д. 8</v>
      </c>
      <c r="C72" s="26">
        <f>'Стоимость ПУ 2023-2024'!C60+'Стоимость ПУ 2023-2024'!D60</f>
        <v>29</v>
      </c>
      <c r="D72" s="26">
        <f>'Стоимость ПУ 2023-2024'!C60</f>
        <v>28</v>
      </c>
      <c r="E72" s="26">
        <f>'Стоимость ПУ 2023-2024'!D60</f>
        <v>1</v>
      </c>
      <c r="F72" s="60">
        <f t="shared" si="15"/>
        <v>567193.72011200001</v>
      </c>
      <c r="G72" s="27">
        <f t="shared" si="17"/>
        <v>484021.66758400004</v>
      </c>
      <c r="H72" s="27">
        <f t="shared" si="18"/>
        <v>27895.902528000002</v>
      </c>
      <c r="I72" s="27">
        <v>55180.45</v>
      </c>
      <c r="J72" s="27">
        <v>95.7</v>
      </c>
      <c r="K72" s="60">
        <f t="shared" si="16"/>
        <v>62742.929999999993</v>
      </c>
      <c r="L72" s="27">
        <v>30335.359999999997</v>
      </c>
      <c r="M72" s="27">
        <v>32407.57</v>
      </c>
      <c r="N72" s="60">
        <f t="shared" si="19"/>
        <v>629936.65011200006</v>
      </c>
    </row>
    <row r="73" spans="1:14" s="28" customFormat="1" outlineLevel="1" x14ac:dyDescent="0.3">
      <c r="A73" s="105">
        <v>20</v>
      </c>
      <c r="B73" s="25" t="str">
        <f>'Стоимость ПУ 2023-2024'!B61</f>
        <v>МКД ул. Украинская д. 44</v>
      </c>
      <c r="C73" s="26">
        <f>'Стоимость ПУ 2023-2024'!C61+'Стоимость ПУ 2023-2024'!D61</f>
        <v>46</v>
      </c>
      <c r="D73" s="26">
        <f>'Стоимость ПУ 2023-2024'!C61</f>
        <v>45</v>
      </c>
      <c r="E73" s="26">
        <f>'Стоимость ПУ 2023-2024'!D61</f>
        <v>1</v>
      </c>
      <c r="F73" s="60">
        <f t="shared" si="15"/>
        <v>861120.118288</v>
      </c>
      <c r="G73" s="27">
        <f t="shared" si="17"/>
        <v>777891.96576000005</v>
      </c>
      <c r="H73" s="27">
        <f t="shared" si="18"/>
        <v>27895.902528000002</v>
      </c>
      <c r="I73" s="27">
        <v>55180.45</v>
      </c>
      <c r="J73" s="27">
        <v>151.80000000000001</v>
      </c>
      <c r="K73" s="60">
        <f t="shared" si="16"/>
        <v>75328.100000000006</v>
      </c>
      <c r="L73" s="27">
        <v>42920.53</v>
      </c>
      <c r="M73" s="27">
        <v>32407.57</v>
      </c>
      <c r="N73" s="60">
        <f t="shared" si="19"/>
        <v>936448.21828799997</v>
      </c>
    </row>
    <row r="74" spans="1:14" s="28" customFormat="1" outlineLevel="1" x14ac:dyDescent="0.3">
      <c r="A74" s="105">
        <v>21</v>
      </c>
      <c r="B74" s="25" t="str">
        <f>'Стоимость ПУ 2023-2024'!B62</f>
        <v>МКД ул. Украинская д. 46</v>
      </c>
      <c r="C74" s="26">
        <f>'Стоимость ПУ 2023-2024'!C62+'Стоимость ПУ 2023-2024'!D62</f>
        <v>24</v>
      </c>
      <c r="D74" s="26">
        <f>'Стоимость ПУ 2023-2024'!C62</f>
        <v>23</v>
      </c>
      <c r="E74" s="26">
        <f>'Стоимость ПУ 2023-2024'!D62</f>
        <v>1</v>
      </c>
      <c r="F74" s="60">
        <f t="shared" si="15"/>
        <v>480744.77947200002</v>
      </c>
      <c r="G74" s="27">
        <f t="shared" si="17"/>
        <v>397589.22694399999</v>
      </c>
      <c r="H74" s="27">
        <f t="shared" si="18"/>
        <v>27895.902528000002</v>
      </c>
      <c r="I74" s="27">
        <v>55180.45</v>
      </c>
      <c r="J74" s="27">
        <v>79.2</v>
      </c>
      <c r="K74" s="60">
        <f t="shared" si="16"/>
        <v>59041.41</v>
      </c>
      <c r="L74" s="27">
        <v>26633.84</v>
      </c>
      <c r="M74" s="27">
        <v>32407.57</v>
      </c>
      <c r="N74" s="60">
        <f t="shared" si="19"/>
        <v>539786.189472</v>
      </c>
    </row>
    <row r="75" spans="1:14" x14ac:dyDescent="0.3">
      <c r="A75" s="129" t="s">
        <v>14</v>
      </c>
      <c r="B75" s="130" t="s">
        <v>111</v>
      </c>
      <c r="C75" s="131">
        <f>SUM(C54:C74)</f>
        <v>786</v>
      </c>
      <c r="D75" s="131">
        <f>SUM(D54:D74)</f>
        <v>765</v>
      </c>
      <c r="E75" s="131">
        <f>SUM(E54:E74)</f>
        <v>21</v>
      </c>
      <c r="F75" s="132">
        <f>SUM(F54:F74)</f>
        <v>14971360.621007999</v>
      </c>
      <c r="G75" s="132">
        <f t="shared" ref="G75:J75" si="20">SUM(G54:G74)</f>
        <v>13224163.417920001</v>
      </c>
      <c r="H75" s="132">
        <f t="shared" si="20"/>
        <v>585813.95308799995</v>
      </c>
      <c r="I75" s="132">
        <f t="shared" si="20"/>
        <v>1158789.4499999995</v>
      </c>
      <c r="J75" s="132">
        <f t="shared" si="20"/>
        <v>2593.7999999999997</v>
      </c>
      <c r="K75" s="132">
        <f t="shared" ref="K75:N75" si="21">SUM(K54:K74)</f>
        <v>1448635.49</v>
      </c>
      <c r="L75" s="132">
        <f t="shared" si="21"/>
        <v>768076.52</v>
      </c>
      <c r="M75" s="132">
        <f t="shared" si="21"/>
        <v>680558.96999999986</v>
      </c>
      <c r="N75" s="132">
        <f t="shared" si="21"/>
        <v>16419996.111007996</v>
      </c>
    </row>
    <row r="76" spans="1:14" x14ac:dyDescent="0.3">
      <c r="A76" s="129" t="s">
        <v>14</v>
      </c>
      <c r="B76" s="130" t="s">
        <v>244</v>
      </c>
      <c r="C76" s="131">
        <f>C75+C52+C32</f>
        <v>2168</v>
      </c>
      <c r="D76" s="131">
        <f t="shared" ref="D76:N76" si="22">D75+D52+D32</f>
        <v>2105</v>
      </c>
      <c r="E76" s="131">
        <f t="shared" si="22"/>
        <v>63</v>
      </c>
      <c r="F76" s="132">
        <f t="shared" si="22"/>
        <v>39583003.448607996</v>
      </c>
      <c r="G76" s="132">
        <f t="shared" si="22"/>
        <v>35025340.12432</v>
      </c>
      <c r="H76" s="132">
        <f t="shared" si="22"/>
        <v>1685556.2642880003</v>
      </c>
      <c r="I76" s="132">
        <f t="shared" si="22"/>
        <v>2864952.6599999997</v>
      </c>
      <c r="J76" s="132">
        <f t="shared" si="22"/>
        <v>7154.4</v>
      </c>
      <c r="K76" s="132">
        <f t="shared" si="22"/>
        <v>3880375.7</v>
      </c>
      <c r="L76" s="132">
        <f t="shared" si="22"/>
        <v>2102659.94</v>
      </c>
      <c r="M76" s="132">
        <f t="shared" si="22"/>
        <v>1777715.7599999998</v>
      </c>
      <c r="N76" s="132">
        <f t="shared" si="22"/>
        <v>43463379.148607999</v>
      </c>
    </row>
    <row r="77" spans="1:14" s="133" customFormat="1" ht="38.25" customHeight="1" x14ac:dyDescent="0.3">
      <c r="A77" s="288" t="s">
        <v>252</v>
      </c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</row>
    <row r="78" spans="1:14" ht="13.5" customHeight="1" x14ac:dyDescent="0.3"/>
    <row r="79" spans="1:14" ht="13.5" customHeight="1" x14ac:dyDescent="0.3"/>
    <row r="80" spans="1:14" ht="42" customHeight="1" x14ac:dyDescent="0.3"/>
    <row r="94" spans="1:14" x14ac:dyDescent="0.3">
      <c r="A94" s="135"/>
      <c r="B94" s="84"/>
      <c r="C94" s="84"/>
      <c r="D94" s="84"/>
      <c r="E94" s="84"/>
      <c r="F94" s="135"/>
      <c r="G94" s="135"/>
      <c r="H94" s="135"/>
      <c r="I94" s="135"/>
      <c r="J94" s="135"/>
      <c r="K94" s="136"/>
      <c r="L94" s="136"/>
      <c r="M94" s="136"/>
      <c r="N94" s="136"/>
    </row>
  </sheetData>
  <mergeCells count="15">
    <mergeCell ref="A1:N1"/>
    <mergeCell ref="A12:N12"/>
    <mergeCell ref="A33:N33"/>
    <mergeCell ref="A53:N53"/>
    <mergeCell ref="B9:B10"/>
    <mergeCell ref="A9:A10"/>
    <mergeCell ref="A77:N77"/>
    <mergeCell ref="F3:G3"/>
    <mergeCell ref="H3:L3"/>
    <mergeCell ref="F4:G4"/>
    <mergeCell ref="H4:L4"/>
    <mergeCell ref="F5:G5"/>
    <mergeCell ref="H5:L5"/>
    <mergeCell ref="F6:G6"/>
    <mergeCell ref="H6:L6"/>
  </mergeCells>
  <phoneticPr fontId="3" type="noConversion"/>
  <printOptions horizontalCentered="1"/>
  <pageMargins left="0.39370078740157483" right="0.39370078740157483" top="1.1811023622047245" bottom="0.39370078740157483" header="0.31496062992125984" footer="0.31496062992125984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1E11A-C5FB-4350-8B0D-1362D7040467}">
  <dimension ref="A2:L58"/>
  <sheetViews>
    <sheetView view="pageBreakPreview" zoomScale="55" zoomScaleNormal="70" zoomScaleSheetLayoutView="55" workbookViewId="0">
      <selection activeCell="A5" sqref="A5:L8"/>
    </sheetView>
  </sheetViews>
  <sheetFormatPr defaultRowHeight="18.75" x14ac:dyDescent="0.3"/>
  <cols>
    <col min="1" max="1" width="9.140625" style="15"/>
    <col min="2" max="2" width="53.28515625" style="15" customWidth="1"/>
    <col min="3" max="3" width="22.140625" style="15" customWidth="1"/>
    <col min="4" max="4" width="22.42578125" style="15" customWidth="1"/>
    <col min="5" max="5" width="24.28515625" style="15" customWidth="1"/>
    <col min="6" max="6" width="22.7109375" style="15" customWidth="1"/>
    <col min="7" max="7" width="25" style="15" customWidth="1"/>
    <col min="8" max="8" width="26.28515625" style="15" customWidth="1"/>
    <col min="9" max="9" width="24.5703125" style="15" customWidth="1"/>
    <col min="10" max="10" width="20.28515625" style="15" customWidth="1"/>
    <col min="11" max="11" width="24.140625" style="15" customWidth="1"/>
    <col min="12" max="12" width="43.42578125" style="15" customWidth="1"/>
    <col min="13" max="16384" width="9.140625" style="15"/>
  </cols>
  <sheetData>
    <row r="2" spans="1:12" ht="59.25" customHeight="1" x14ac:dyDescent="0.3">
      <c r="A2" s="173" t="s">
        <v>138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2" ht="50.25" customHeight="1" x14ac:dyDescent="0.3">
      <c r="A3" s="188" t="s">
        <v>20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</row>
    <row r="4" spans="1:12" ht="29.25" customHeight="1" thickBot="1" x14ac:dyDescent="0.35">
      <c r="A4" s="189" t="s">
        <v>26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</row>
    <row r="5" spans="1:12" ht="60.75" customHeight="1" thickBot="1" x14ac:dyDescent="0.35">
      <c r="A5" s="40" t="s">
        <v>0</v>
      </c>
      <c r="B5" s="41" t="s">
        <v>1</v>
      </c>
      <c r="C5" s="41" t="s">
        <v>133</v>
      </c>
      <c r="D5" s="41" t="s">
        <v>133</v>
      </c>
      <c r="E5" s="41" t="s">
        <v>134</v>
      </c>
      <c r="F5" s="185" t="s">
        <v>2</v>
      </c>
      <c r="G5" s="190"/>
      <c r="H5" s="185" t="s">
        <v>3</v>
      </c>
      <c r="I5" s="186"/>
      <c r="J5" s="186"/>
      <c r="K5" s="186"/>
      <c r="L5" s="187"/>
    </row>
    <row r="6" spans="1:12" s="1" customFormat="1" ht="17.25" customHeight="1" thickBot="1" x14ac:dyDescent="0.3">
      <c r="A6" s="2">
        <v>1</v>
      </c>
      <c r="B6" s="4">
        <v>2</v>
      </c>
      <c r="C6" s="4">
        <v>3</v>
      </c>
      <c r="D6" s="4">
        <v>4</v>
      </c>
      <c r="E6" s="4">
        <v>5</v>
      </c>
      <c r="F6" s="184">
        <v>6</v>
      </c>
      <c r="G6" s="182"/>
      <c r="H6" s="182">
        <v>7</v>
      </c>
      <c r="I6" s="182"/>
      <c r="J6" s="182"/>
      <c r="K6" s="182"/>
      <c r="L6" s="183"/>
    </row>
    <row r="7" spans="1:12" ht="95.25" customHeight="1" thickBot="1" x14ac:dyDescent="0.35">
      <c r="A7" s="42">
        <v>1</v>
      </c>
      <c r="B7" s="43" t="s">
        <v>22</v>
      </c>
      <c r="C7" s="44">
        <f>8013.33333</f>
        <v>8013.3333300000004</v>
      </c>
      <c r="D7" s="44">
        <f>C7</f>
        <v>8013.3333300000004</v>
      </c>
      <c r="E7" s="44">
        <f>ROUND(15735.16/1.2,2)</f>
        <v>13112.63</v>
      </c>
      <c r="F7" s="185" t="s">
        <v>233</v>
      </c>
      <c r="G7" s="190"/>
      <c r="H7" s="191" t="s">
        <v>224</v>
      </c>
      <c r="I7" s="192"/>
      <c r="J7" s="192"/>
      <c r="K7" s="192"/>
      <c r="L7" s="193"/>
    </row>
    <row r="8" spans="1:12" ht="95.25" customHeight="1" thickBot="1" x14ac:dyDescent="0.35">
      <c r="A8" s="40">
        <v>2</v>
      </c>
      <c r="B8" s="41" t="s">
        <v>125</v>
      </c>
      <c r="C8" s="45">
        <v>14133.33</v>
      </c>
      <c r="D8" s="45">
        <v>15153.34</v>
      </c>
      <c r="E8" s="45">
        <f>ROUND(38382/1.2,2)</f>
        <v>31985</v>
      </c>
      <c r="F8" s="210" t="s">
        <v>234</v>
      </c>
      <c r="G8" s="211"/>
      <c r="H8" s="194" t="s">
        <v>225</v>
      </c>
      <c r="I8" s="195"/>
      <c r="J8" s="195"/>
      <c r="K8" s="195"/>
      <c r="L8" s="196"/>
    </row>
    <row r="9" spans="1:12" ht="90" customHeight="1" x14ac:dyDescent="0.3">
      <c r="A9" s="16">
        <v>3</v>
      </c>
      <c r="B9" s="17" t="s">
        <v>147</v>
      </c>
      <c r="C9" s="46">
        <f>C10+C11+C12</f>
        <v>22790.83</v>
      </c>
      <c r="D9" s="46">
        <f>D10+D11+D12</f>
        <v>23195.009999999995</v>
      </c>
      <c r="E9" s="46">
        <f>E10+E11+E12</f>
        <v>51017.43</v>
      </c>
      <c r="F9" s="213" t="s">
        <v>121</v>
      </c>
      <c r="G9" s="213"/>
      <c r="H9" s="205" t="s">
        <v>226</v>
      </c>
      <c r="I9" s="205"/>
      <c r="J9" s="205"/>
      <c r="K9" s="205"/>
      <c r="L9" s="206"/>
    </row>
    <row r="10" spans="1:12" ht="81" customHeight="1" x14ac:dyDescent="0.3">
      <c r="A10" s="39" t="s">
        <v>61</v>
      </c>
      <c r="B10" s="23" t="s">
        <v>6</v>
      </c>
      <c r="C10" s="47">
        <v>19235.830000000002</v>
      </c>
      <c r="D10" s="47">
        <v>19741.669999999998</v>
      </c>
      <c r="E10" s="47">
        <f>ROUND(44808.34/1.2,2)</f>
        <v>37340.28</v>
      </c>
      <c r="F10" s="212" t="s">
        <v>121</v>
      </c>
      <c r="G10" s="212"/>
      <c r="H10" s="207" t="s">
        <v>227</v>
      </c>
      <c r="I10" s="207"/>
      <c r="J10" s="207"/>
      <c r="K10" s="207"/>
      <c r="L10" s="208"/>
    </row>
    <row r="11" spans="1:12" ht="75.75" customHeight="1" x14ac:dyDescent="0.3">
      <c r="A11" s="39" t="s">
        <v>62</v>
      </c>
      <c r="B11" s="23" t="s">
        <v>7</v>
      </c>
      <c r="C11" s="47">
        <v>2518.33</v>
      </c>
      <c r="D11" s="47">
        <v>2416.67</v>
      </c>
      <c r="E11" s="47">
        <f>ROUND(6412.58/1.2,2)</f>
        <v>5343.82</v>
      </c>
      <c r="F11" s="212" t="s">
        <v>121</v>
      </c>
      <c r="G11" s="212"/>
      <c r="H11" s="207" t="s">
        <v>228</v>
      </c>
      <c r="I11" s="207"/>
      <c r="J11" s="207"/>
      <c r="K11" s="207"/>
      <c r="L11" s="208"/>
    </row>
    <row r="12" spans="1:12" ht="73.5" customHeight="1" thickBot="1" x14ac:dyDescent="0.35">
      <c r="A12" s="48" t="s">
        <v>63</v>
      </c>
      <c r="B12" s="49" t="s">
        <v>77</v>
      </c>
      <c r="C12" s="50">
        <v>1036.67</v>
      </c>
      <c r="D12" s="50">
        <v>1036.67</v>
      </c>
      <c r="E12" s="50">
        <f>ROUND(10000/1.2,2)</f>
        <v>8333.33</v>
      </c>
      <c r="F12" s="209" t="s">
        <v>121</v>
      </c>
      <c r="G12" s="209"/>
      <c r="H12" s="198" t="s">
        <v>229</v>
      </c>
      <c r="I12" s="198"/>
      <c r="J12" s="198"/>
      <c r="K12" s="198"/>
      <c r="L12" s="199"/>
    </row>
    <row r="13" spans="1:12" ht="48" customHeight="1" thickBot="1" x14ac:dyDescent="0.35">
      <c r="A13" s="51">
        <v>4</v>
      </c>
      <c r="B13" s="52" t="s">
        <v>27</v>
      </c>
      <c r="C13" s="53">
        <v>3.3</v>
      </c>
      <c r="D13" s="53">
        <v>3.3</v>
      </c>
      <c r="E13" s="53">
        <v>3.3</v>
      </c>
      <c r="F13" s="203" t="s">
        <v>25</v>
      </c>
      <c r="G13" s="204"/>
      <c r="H13" s="200" t="s">
        <v>230</v>
      </c>
      <c r="I13" s="201"/>
      <c r="J13" s="201"/>
      <c r="K13" s="201"/>
      <c r="L13" s="202"/>
    </row>
    <row r="15" spans="1:12" ht="37.5" customHeight="1" x14ac:dyDescent="0.3"/>
    <row r="16" spans="1:12" ht="70.5" customHeight="1" x14ac:dyDescent="0.3">
      <c r="A16" s="197" t="s">
        <v>139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6"/>
    </row>
    <row r="17" spans="1:12" ht="42.75" customHeight="1" thickBot="1" x14ac:dyDescent="0.35">
      <c r="A17" s="21"/>
      <c r="K17" s="22" t="s">
        <v>78</v>
      </c>
    </row>
    <row r="18" spans="1:12" ht="131.25" x14ac:dyDescent="0.3">
      <c r="A18" s="54" t="s">
        <v>0</v>
      </c>
      <c r="B18" s="55" t="s">
        <v>9</v>
      </c>
      <c r="C18" s="56" t="s">
        <v>55</v>
      </c>
      <c r="D18" s="57" t="s">
        <v>56</v>
      </c>
      <c r="E18" s="56" t="s">
        <v>96</v>
      </c>
      <c r="F18" s="57" t="s">
        <v>97</v>
      </c>
      <c r="G18" s="56" t="s">
        <v>140</v>
      </c>
      <c r="H18" s="56" t="s">
        <v>98</v>
      </c>
      <c r="I18" s="56" t="s">
        <v>28</v>
      </c>
      <c r="J18" s="56" t="s">
        <v>10</v>
      </c>
      <c r="K18" s="58" t="s">
        <v>11</v>
      </c>
    </row>
    <row r="19" spans="1:12" s="1" customFormat="1" ht="15.75" x14ac:dyDescent="0.25">
      <c r="A19" s="78"/>
      <c r="B19" s="79"/>
      <c r="C19" s="7" t="s">
        <v>12</v>
      </c>
      <c r="D19" s="14" t="s">
        <v>12</v>
      </c>
      <c r="E19" s="7" t="s">
        <v>13</v>
      </c>
      <c r="F19" s="14" t="s">
        <v>13</v>
      </c>
      <c r="G19" s="7" t="s">
        <v>13</v>
      </c>
      <c r="H19" s="7" t="s">
        <v>13</v>
      </c>
      <c r="I19" s="7" t="s">
        <v>13</v>
      </c>
      <c r="J19" s="7" t="s">
        <v>12</v>
      </c>
      <c r="K19" s="8" t="s">
        <v>12</v>
      </c>
    </row>
    <row r="20" spans="1:12" s="1" customFormat="1" ht="15.75" x14ac:dyDescent="0.25">
      <c r="A20" s="80">
        <v>1</v>
      </c>
      <c r="B20" s="81">
        <v>2</v>
      </c>
      <c r="C20" s="82">
        <v>3</v>
      </c>
      <c r="D20" s="81">
        <v>4</v>
      </c>
      <c r="E20" s="82" t="s">
        <v>127</v>
      </c>
      <c r="F20" s="81" t="s">
        <v>128</v>
      </c>
      <c r="G20" s="82" t="s">
        <v>129</v>
      </c>
      <c r="H20" s="81" t="s">
        <v>130</v>
      </c>
      <c r="I20" s="82" t="s">
        <v>86</v>
      </c>
      <c r="J20" s="81" t="s">
        <v>87</v>
      </c>
      <c r="K20" s="83" t="s">
        <v>88</v>
      </c>
    </row>
    <row r="21" spans="1:12" s="29" customFormat="1" x14ac:dyDescent="0.3">
      <c r="A21" s="59">
        <v>1</v>
      </c>
      <c r="B21" s="25" t="s">
        <v>160</v>
      </c>
      <c r="C21" s="26">
        <v>56</v>
      </c>
      <c r="D21" s="26">
        <v>1</v>
      </c>
      <c r="E21" s="27">
        <f>ROUND(C21*$C$7,2)</f>
        <v>448746.67</v>
      </c>
      <c r="F21" s="27">
        <f>ROUND(D21*$C$8,2)</f>
        <v>14133.33</v>
      </c>
      <c r="G21" s="27">
        <f>$C$9</f>
        <v>22790.83</v>
      </c>
      <c r="H21" s="27">
        <f>ROUND((D21+C21)*$C$13,2)</f>
        <v>188.1</v>
      </c>
      <c r="I21" s="60">
        <f>E21+F21+G21+H21</f>
        <v>485858.93</v>
      </c>
      <c r="J21" s="61">
        <f>C21</f>
        <v>56</v>
      </c>
      <c r="K21" s="62">
        <f>D21</f>
        <v>1</v>
      </c>
      <c r="L21" s="28"/>
    </row>
    <row r="22" spans="1:12" s="29" customFormat="1" x14ac:dyDescent="0.3">
      <c r="A22" s="59">
        <v>2</v>
      </c>
      <c r="B22" s="25" t="s">
        <v>161</v>
      </c>
      <c r="C22" s="26">
        <v>39</v>
      </c>
      <c r="D22" s="26">
        <v>1</v>
      </c>
      <c r="E22" s="27">
        <f>ROUND(C22*$C$7,2)</f>
        <v>312520</v>
      </c>
      <c r="F22" s="27">
        <f t="shared" ref="F22" si="0">ROUND(D22*$C$8,2)</f>
        <v>14133.33</v>
      </c>
      <c r="G22" s="27">
        <f t="shared" ref="G22" si="1">$C$9</f>
        <v>22790.83</v>
      </c>
      <c r="H22" s="27">
        <f t="shared" ref="H22" si="2">ROUND((D22+C22)*$C$13,2)</f>
        <v>132</v>
      </c>
      <c r="I22" s="60">
        <f>E22+F22+G22+H22</f>
        <v>349576.16000000003</v>
      </c>
      <c r="J22" s="61">
        <f t="shared" ref="J22:J39" si="3">C22</f>
        <v>39</v>
      </c>
      <c r="K22" s="62">
        <f t="shared" ref="K22:K39" si="4">D22</f>
        <v>1</v>
      </c>
      <c r="L22" s="28"/>
    </row>
    <row r="23" spans="1:12" s="28" customFormat="1" x14ac:dyDescent="0.3">
      <c r="A23" s="63">
        <v>3</v>
      </c>
      <c r="B23" s="31" t="s">
        <v>162</v>
      </c>
      <c r="C23" s="32">
        <v>105</v>
      </c>
      <c r="D23" s="32">
        <v>1</v>
      </c>
      <c r="E23" s="33">
        <f>ROUND(C23*$D$7,2)</f>
        <v>841400</v>
      </c>
      <c r="F23" s="33">
        <f>ROUND(D23*$D$8,2)</f>
        <v>15153.34</v>
      </c>
      <c r="G23" s="33">
        <f>$D$9</f>
        <v>23195.009999999995</v>
      </c>
      <c r="H23" s="27">
        <f>ROUND((D23+C23)*$D$13,2)</f>
        <v>349.8</v>
      </c>
      <c r="I23" s="64">
        <f t="shared" ref="I23:I39" si="5">E23+F23+G23+H23</f>
        <v>880098.15</v>
      </c>
      <c r="J23" s="65">
        <f t="shared" si="3"/>
        <v>105</v>
      </c>
      <c r="K23" s="66">
        <f t="shared" si="4"/>
        <v>1</v>
      </c>
    </row>
    <row r="24" spans="1:12" s="28" customFormat="1" x14ac:dyDescent="0.3">
      <c r="A24" s="63">
        <v>4</v>
      </c>
      <c r="B24" s="31" t="s">
        <v>163</v>
      </c>
      <c r="C24" s="32">
        <v>20</v>
      </c>
      <c r="D24" s="32">
        <v>1</v>
      </c>
      <c r="E24" s="33">
        <f t="shared" ref="E24:E29" si="6">ROUND(C24*$E$7,2)</f>
        <v>262252.59999999998</v>
      </c>
      <c r="F24" s="33">
        <f>ROUND(D24*$E$8,2)</f>
        <v>31985</v>
      </c>
      <c r="G24" s="33">
        <f>$E$9</f>
        <v>51017.43</v>
      </c>
      <c r="H24" s="33">
        <f>ROUND((D24+C24)*$E$13,2)</f>
        <v>69.3</v>
      </c>
      <c r="I24" s="64">
        <f t="shared" si="5"/>
        <v>345324.32999999996</v>
      </c>
      <c r="J24" s="65">
        <f t="shared" si="3"/>
        <v>20</v>
      </c>
      <c r="K24" s="66">
        <f t="shared" si="4"/>
        <v>1</v>
      </c>
    </row>
    <row r="25" spans="1:12" s="28" customFormat="1" x14ac:dyDescent="0.3">
      <c r="A25" s="63">
        <v>5</v>
      </c>
      <c r="B25" s="31" t="s">
        <v>164</v>
      </c>
      <c r="C25" s="32">
        <v>26</v>
      </c>
      <c r="D25" s="32">
        <v>2</v>
      </c>
      <c r="E25" s="33">
        <f t="shared" si="6"/>
        <v>340928.38</v>
      </c>
      <c r="F25" s="33">
        <f t="shared" ref="F25:F38" si="7">ROUND(D25*$E$8,2)</f>
        <v>63970</v>
      </c>
      <c r="G25" s="33">
        <f t="shared" ref="G25:G38" si="8">$E$9</f>
        <v>51017.43</v>
      </c>
      <c r="H25" s="33">
        <f t="shared" ref="H25:H39" si="9">ROUND((D25+C25)*$E$13,2)</f>
        <v>92.4</v>
      </c>
      <c r="I25" s="64">
        <f t="shared" si="5"/>
        <v>456008.21</v>
      </c>
      <c r="J25" s="65">
        <f t="shared" si="3"/>
        <v>26</v>
      </c>
      <c r="K25" s="66">
        <f t="shared" si="4"/>
        <v>2</v>
      </c>
    </row>
    <row r="26" spans="1:12" s="28" customFormat="1" x14ac:dyDescent="0.3">
      <c r="A26" s="63">
        <v>6</v>
      </c>
      <c r="B26" s="31" t="s">
        <v>165</v>
      </c>
      <c r="C26" s="32">
        <v>53</v>
      </c>
      <c r="D26" s="32">
        <v>1</v>
      </c>
      <c r="E26" s="33">
        <f t="shared" si="6"/>
        <v>694969.39</v>
      </c>
      <c r="F26" s="33">
        <f t="shared" si="7"/>
        <v>31985</v>
      </c>
      <c r="G26" s="33">
        <f t="shared" si="8"/>
        <v>51017.43</v>
      </c>
      <c r="H26" s="33">
        <f t="shared" si="9"/>
        <v>178.2</v>
      </c>
      <c r="I26" s="64">
        <f t="shared" si="5"/>
        <v>778150.02</v>
      </c>
      <c r="J26" s="65">
        <f t="shared" si="3"/>
        <v>53</v>
      </c>
      <c r="K26" s="66">
        <f t="shared" si="4"/>
        <v>1</v>
      </c>
    </row>
    <row r="27" spans="1:12" s="28" customFormat="1" x14ac:dyDescent="0.3">
      <c r="A27" s="63">
        <v>7</v>
      </c>
      <c r="B27" s="31" t="s">
        <v>166</v>
      </c>
      <c r="C27" s="32">
        <v>44</v>
      </c>
      <c r="D27" s="32">
        <v>1</v>
      </c>
      <c r="E27" s="33">
        <f t="shared" si="6"/>
        <v>576955.72</v>
      </c>
      <c r="F27" s="33">
        <f t="shared" si="7"/>
        <v>31985</v>
      </c>
      <c r="G27" s="33">
        <f t="shared" si="8"/>
        <v>51017.43</v>
      </c>
      <c r="H27" s="33">
        <f t="shared" si="9"/>
        <v>148.5</v>
      </c>
      <c r="I27" s="64">
        <f t="shared" si="5"/>
        <v>660106.65</v>
      </c>
      <c r="J27" s="65">
        <f t="shared" si="3"/>
        <v>44</v>
      </c>
      <c r="K27" s="66">
        <f t="shared" si="4"/>
        <v>1</v>
      </c>
    </row>
    <row r="28" spans="1:12" s="67" customFormat="1" x14ac:dyDescent="0.3">
      <c r="A28" s="24">
        <v>8</v>
      </c>
      <c r="B28" s="25" t="s">
        <v>167</v>
      </c>
      <c r="C28" s="26">
        <v>5</v>
      </c>
      <c r="D28" s="26">
        <v>2</v>
      </c>
      <c r="E28" s="27">
        <f t="shared" si="6"/>
        <v>65563.149999999994</v>
      </c>
      <c r="F28" s="27">
        <f>ROUND(D28*$E$8,2)</f>
        <v>63970</v>
      </c>
      <c r="G28" s="27">
        <f>$E$9</f>
        <v>51017.43</v>
      </c>
      <c r="H28" s="27">
        <f>ROUND((D28+C28)*$E$13,2)</f>
        <v>23.1</v>
      </c>
      <c r="I28" s="60">
        <f t="shared" si="5"/>
        <v>180573.68</v>
      </c>
      <c r="J28" s="61">
        <f t="shared" si="3"/>
        <v>5</v>
      </c>
      <c r="K28" s="62">
        <f t="shared" si="4"/>
        <v>2</v>
      </c>
    </row>
    <row r="29" spans="1:12" s="28" customFormat="1" x14ac:dyDescent="0.3">
      <c r="A29" s="63">
        <v>9</v>
      </c>
      <c r="B29" s="31" t="s">
        <v>168</v>
      </c>
      <c r="C29" s="32">
        <v>6</v>
      </c>
      <c r="D29" s="32">
        <v>2</v>
      </c>
      <c r="E29" s="33">
        <f t="shared" si="6"/>
        <v>78675.78</v>
      </c>
      <c r="F29" s="33">
        <f>ROUND(D29*$E$8,2)</f>
        <v>63970</v>
      </c>
      <c r="G29" s="33">
        <f t="shared" si="8"/>
        <v>51017.43</v>
      </c>
      <c r="H29" s="33">
        <f t="shared" ref="H29" si="10">ROUND((D29+C29)*$E$13,2)</f>
        <v>26.4</v>
      </c>
      <c r="I29" s="64">
        <f t="shared" ref="I29" si="11">E29+F29+G29+H29</f>
        <v>193689.61</v>
      </c>
      <c r="J29" s="65">
        <f t="shared" ref="J29" si="12">C29</f>
        <v>6</v>
      </c>
      <c r="K29" s="66">
        <f t="shared" ref="K29" si="13">D29</f>
        <v>2</v>
      </c>
    </row>
    <row r="30" spans="1:12" s="28" customFormat="1" x14ac:dyDescent="0.3">
      <c r="A30" s="63">
        <v>10</v>
      </c>
      <c r="B30" s="31" t="s">
        <v>169</v>
      </c>
      <c r="C30" s="32">
        <v>30</v>
      </c>
      <c r="D30" s="32">
        <v>1</v>
      </c>
      <c r="E30" s="33">
        <f t="shared" ref="E30:E38" si="14">ROUND(C30*$E$7,2)</f>
        <v>393378.9</v>
      </c>
      <c r="F30" s="33">
        <f t="shared" si="7"/>
        <v>31985</v>
      </c>
      <c r="G30" s="33">
        <f t="shared" si="8"/>
        <v>51017.43</v>
      </c>
      <c r="H30" s="33">
        <f t="shared" si="9"/>
        <v>102.3</v>
      </c>
      <c r="I30" s="64">
        <f t="shared" si="5"/>
        <v>476483.63</v>
      </c>
      <c r="J30" s="65">
        <f t="shared" si="3"/>
        <v>30</v>
      </c>
      <c r="K30" s="66">
        <f t="shared" si="4"/>
        <v>1</v>
      </c>
    </row>
    <row r="31" spans="1:12" s="28" customFormat="1" x14ac:dyDescent="0.3">
      <c r="A31" s="63">
        <v>11</v>
      </c>
      <c r="B31" s="31" t="s">
        <v>170</v>
      </c>
      <c r="C31" s="32">
        <v>29</v>
      </c>
      <c r="D31" s="32">
        <v>1</v>
      </c>
      <c r="E31" s="33">
        <f t="shared" si="14"/>
        <v>380266.27</v>
      </c>
      <c r="F31" s="33">
        <f t="shared" si="7"/>
        <v>31985</v>
      </c>
      <c r="G31" s="33">
        <f t="shared" si="8"/>
        <v>51017.43</v>
      </c>
      <c r="H31" s="33">
        <f t="shared" si="9"/>
        <v>99</v>
      </c>
      <c r="I31" s="64">
        <f t="shared" si="5"/>
        <v>463367.7</v>
      </c>
      <c r="J31" s="65">
        <f t="shared" si="3"/>
        <v>29</v>
      </c>
      <c r="K31" s="66">
        <f t="shared" si="4"/>
        <v>1</v>
      </c>
    </row>
    <row r="32" spans="1:12" s="28" customFormat="1" x14ac:dyDescent="0.3">
      <c r="A32" s="63">
        <v>12</v>
      </c>
      <c r="B32" s="31" t="s">
        <v>171</v>
      </c>
      <c r="C32" s="32">
        <v>31</v>
      </c>
      <c r="D32" s="32">
        <v>1</v>
      </c>
      <c r="E32" s="33">
        <f t="shared" si="14"/>
        <v>406491.53</v>
      </c>
      <c r="F32" s="33">
        <f t="shared" si="7"/>
        <v>31985</v>
      </c>
      <c r="G32" s="33">
        <f t="shared" si="8"/>
        <v>51017.43</v>
      </c>
      <c r="H32" s="33">
        <f t="shared" si="9"/>
        <v>105.6</v>
      </c>
      <c r="I32" s="64">
        <f t="shared" si="5"/>
        <v>489599.56</v>
      </c>
      <c r="J32" s="65">
        <f t="shared" si="3"/>
        <v>31</v>
      </c>
      <c r="K32" s="66">
        <f t="shared" si="4"/>
        <v>1</v>
      </c>
    </row>
    <row r="33" spans="1:12" s="28" customFormat="1" x14ac:dyDescent="0.3">
      <c r="A33" s="63">
        <v>13</v>
      </c>
      <c r="B33" s="31" t="s">
        <v>172</v>
      </c>
      <c r="C33" s="32">
        <v>20</v>
      </c>
      <c r="D33" s="32">
        <v>1</v>
      </c>
      <c r="E33" s="33">
        <f t="shared" si="14"/>
        <v>262252.59999999998</v>
      </c>
      <c r="F33" s="33">
        <f t="shared" si="7"/>
        <v>31985</v>
      </c>
      <c r="G33" s="33">
        <f t="shared" si="8"/>
        <v>51017.43</v>
      </c>
      <c r="H33" s="33">
        <f t="shared" si="9"/>
        <v>69.3</v>
      </c>
      <c r="I33" s="64">
        <f t="shared" si="5"/>
        <v>345324.32999999996</v>
      </c>
      <c r="J33" s="65">
        <f t="shared" si="3"/>
        <v>20</v>
      </c>
      <c r="K33" s="66">
        <f t="shared" si="4"/>
        <v>1</v>
      </c>
    </row>
    <row r="34" spans="1:12" s="28" customFormat="1" x14ac:dyDescent="0.3">
      <c r="A34" s="63">
        <v>14</v>
      </c>
      <c r="B34" s="31" t="s">
        <v>173</v>
      </c>
      <c r="C34" s="32">
        <v>30</v>
      </c>
      <c r="D34" s="32">
        <v>1</v>
      </c>
      <c r="E34" s="33">
        <f t="shared" si="14"/>
        <v>393378.9</v>
      </c>
      <c r="F34" s="33">
        <f t="shared" si="7"/>
        <v>31985</v>
      </c>
      <c r="G34" s="33">
        <f t="shared" si="8"/>
        <v>51017.43</v>
      </c>
      <c r="H34" s="33">
        <f t="shared" si="9"/>
        <v>102.3</v>
      </c>
      <c r="I34" s="64">
        <f t="shared" si="5"/>
        <v>476483.63</v>
      </c>
      <c r="J34" s="65">
        <f t="shared" si="3"/>
        <v>30</v>
      </c>
      <c r="K34" s="66">
        <f t="shared" si="4"/>
        <v>1</v>
      </c>
    </row>
    <row r="35" spans="1:12" s="28" customFormat="1" x14ac:dyDescent="0.3">
      <c r="A35" s="63">
        <v>15</v>
      </c>
      <c r="B35" s="31" t="s">
        <v>174</v>
      </c>
      <c r="C35" s="32">
        <v>57</v>
      </c>
      <c r="D35" s="32">
        <v>1</v>
      </c>
      <c r="E35" s="33">
        <f t="shared" si="14"/>
        <v>747419.91</v>
      </c>
      <c r="F35" s="33">
        <f t="shared" si="7"/>
        <v>31985</v>
      </c>
      <c r="G35" s="33">
        <f t="shared" si="8"/>
        <v>51017.43</v>
      </c>
      <c r="H35" s="33">
        <f t="shared" si="9"/>
        <v>191.4</v>
      </c>
      <c r="I35" s="64">
        <f t="shared" si="5"/>
        <v>830613.74000000011</v>
      </c>
      <c r="J35" s="65">
        <f t="shared" si="3"/>
        <v>57</v>
      </c>
      <c r="K35" s="66">
        <f t="shared" si="4"/>
        <v>1</v>
      </c>
    </row>
    <row r="36" spans="1:12" s="28" customFormat="1" x14ac:dyDescent="0.3">
      <c r="A36" s="63">
        <v>16</v>
      </c>
      <c r="B36" s="31" t="s">
        <v>175</v>
      </c>
      <c r="C36" s="32">
        <v>41</v>
      </c>
      <c r="D36" s="32">
        <v>1</v>
      </c>
      <c r="E36" s="33">
        <f>ROUND(C36*$D$7,2)</f>
        <v>328546.67</v>
      </c>
      <c r="F36" s="33">
        <f>ROUND(D36*$D$8,2)</f>
        <v>15153.34</v>
      </c>
      <c r="G36" s="33">
        <f>$D$9</f>
        <v>23195.009999999995</v>
      </c>
      <c r="H36" s="33">
        <f t="shared" si="9"/>
        <v>138.6</v>
      </c>
      <c r="I36" s="64">
        <f t="shared" si="5"/>
        <v>367033.62</v>
      </c>
      <c r="J36" s="65">
        <f t="shared" si="3"/>
        <v>41</v>
      </c>
      <c r="K36" s="66">
        <f t="shared" si="4"/>
        <v>1</v>
      </c>
    </row>
    <row r="37" spans="1:12" s="28" customFormat="1" x14ac:dyDescent="0.3">
      <c r="A37" s="63">
        <v>17</v>
      </c>
      <c r="B37" s="31" t="s">
        <v>176</v>
      </c>
      <c r="C37" s="32">
        <v>44</v>
      </c>
      <c r="D37" s="32">
        <v>1</v>
      </c>
      <c r="E37" s="33">
        <f>ROUND(C37*$E$7,2)</f>
        <v>576955.72</v>
      </c>
      <c r="F37" s="33">
        <f t="shared" si="7"/>
        <v>31985</v>
      </c>
      <c r="G37" s="33">
        <f t="shared" si="8"/>
        <v>51017.43</v>
      </c>
      <c r="H37" s="33">
        <f t="shared" si="9"/>
        <v>148.5</v>
      </c>
      <c r="I37" s="64">
        <f t="shared" si="5"/>
        <v>660106.65</v>
      </c>
      <c r="J37" s="65">
        <f t="shared" si="3"/>
        <v>44</v>
      </c>
      <c r="K37" s="66">
        <f t="shared" si="4"/>
        <v>1</v>
      </c>
    </row>
    <row r="38" spans="1:12" s="28" customFormat="1" x14ac:dyDescent="0.3">
      <c r="A38" s="63">
        <v>18</v>
      </c>
      <c r="B38" s="31" t="s">
        <v>177</v>
      </c>
      <c r="C38" s="32">
        <v>24</v>
      </c>
      <c r="D38" s="32">
        <v>1</v>
      </c>
      <c r="E38" s="33">
        <f t="shared" si="14"/>
        <v>314703.12</v>
      </c>
      <c r="F38" s="33">
        <f t="shared" si="7"/>
        <v>31985</v>
      </c>
      <c r="G38" s="33">
        <f t="shared" si="8"/>
        <v>51017.43</v>
      </c>
      <c r="H38" s="33">
        <f t="shared" si="9"/>
        <v>82.5</v>
      </c>
      <c r="I38" s="64">
        <f t="shared" si="5"/>
        <v>397788.05</v>
      </c>
      <c r="J38" s="65">
        <f t="shared" si="3"/>
        <v>24</v>
      </c>
      <c r="K38" s="66">
        <f t="shared" si="4"/>
        <v>1</v>
      </c>
    </row>
    <row r="39" spans="1:12" s="28" customFormat="1" x14ac:dyDescent="0.3">
      <c r="A39" s="63">
        <v>19</v>
      </c>
      <c r="B39" s="31" t="s">
        <v>178</v>
      </c>
      <c r="C39" s="32">
        <v>78</v>
      </c>
      <c r="D39" s="32">
        <v>5</v>
      </c>
      <c r="E39" s="33">
        <f>ROUND(C39*$D$7,2)</f>
        <v>625040</v>
      </c>
      <c r="F39" s="33">
        <f>ROUND(D39*$E$8,2)</f>
        <v>159925</v>
      </c>
      <c r="G39" s="33">
        <f>$E$9</f>
        <v>51017.43</v>
      </c>
      <c r="H39" s="33">
        <f t="shared" si="9"/>
        <v>273.89999999999998</v>
      </c>
      <c r="I39" s="64">
        <f t="shared" si="5"/>
        <v>836256.33000000007</v>
      </c>
      <c r="J39" s="65">
        <f t="shared" si="3"/>
        <v>78</v>
      </c>
      <c r="K39" s="66">
        <f t="shared" si="4"/>
        <v>5</v>
      </c>
    </row>
    <row r="40" spans="1:12" s="28" customFormat="1" ht="19.5" thickBot="1" x14ac:dyDescent="0.35">
      <c r="A40" s="68" t="s">
        <v>14</v>
      </c>
      <c r="B40" s="69" t="s">
        <v>15</v>
      </c>
      <c r="C40" s="70">
        <f>SUM(C21:C39)</f>
        <v>738</v>
      </c>
      <c r="D40" s="70">
        <f>SUM(D21:D39)</f>
        <v>26</v>
      </c>
      <c r="E40" s="71">
        <f t="shared" ref="E40:K40" si="15">SUM(E21:E39)</f>
        <v>8050445.3099999996</v>
      </c>
      <c r="F40" s="71">
        <f t="shared" si="15"/>
        <v>762243.34</v>
      </c>
      <c r="G40" s="71">
        <f t="shared" si="15"/>
        <v>857233.13000000035</v>
      </c>
      <c r="H40" s="71">
        <f t="shared" si="15"/>
        <v>2521.1999999999998</v>
      </c>
      <c r="I40" s="71">
        <f t="shared" si="15"/>
        <v>9672442.9800000004</v>
      </c>
      <c r="J40" s="70">
        <f t="shared" si="15"/>
        <v>738</v>
      </c>
      <c r="K40" s="72">
        <f t="shared" si="15"/>
        <v>26</v>
      </c>
    </row>
    <row r="41" spans="1:12" s="28" customFormat="1" x14ac:dyDescent="0.3">
      <c r="C41" s="73">
        <f>SUM(C21:C39)-C40</f>
        <v>0</v>
      </c>
      <c r="D41" s="73">
        <f t="shared" ref="D41:H41" si="16">SUM(D21:D39)-D40</f>
        <v>0</v>
      </c>
      <c r="E41" s="73">
        <f t="shared" si="16"/>
        <v>0</v>
      </c>
      <c r="F41" s="73">
        <f t="shared" si="16"/>
        <v>0</v>
      </c>
      <c r="G41" s="73">
        <f t="shared" si="16"/>
        <v>0</v>
      </c>
      <c r="H41" s="73">
        <f t="shared" si="16"/>
        <v>0</v>
      </c>
      <c r="I41" s="73">
        <f>SUM(I21:I39)-I40</f>
        <v>0</v>
      </c>
      <c r="J41" s="73">
        <f>J40+K40-D40-C40</f>
        <v>0</v>
      </c>
      <c r="K41" s="73"/>
      <c r="L41" s="30"/>
    </row>
    <row r="42" spans="1:12" s="28" customFormat="1" x14ac:dyDescent="0.3">
      <c r="G42" s="30">
        <f>SUM(G21:G39)-G40</f>
        <v>0</v>
      </c>
      <c r="H42" s="30">
        <f>SUM(H21:H39)-H40</f>
        <v>0</v>
      </c>
      <c r="I42" s="30">
        <f>SUM(I21:I39)-I40</f>
        <v>0</v>
      </c>
      <c r="J42" s="73">
        <f>J40-C40</f>
        <v>0</v>
      </c>
      <c r="K42" s="73">
        <f>K40-D40</f>
        <v>0</v>
      </c>
      <c r="L42" s="75"/>
    </row>
    <row r="43" spans="1:12" s="28" customFormat="1" ht="87.75" customHeight="1" x14ac:dyDescent="0.3">
      <c r="E43" s="76"/>
      <c r="G43" s="74"/>
      <c r="H43" s="74"/>
      <c r="I43" s="73"/>
      <c r="J43" s="73">
        <f>SUM(J21:J39)-J40</f>
        <v>0</v>
      </c>
      <c r="K43" s="73">
        <f>SUM(K21:K39)-K40</f>
        <v>0</v>
      </c>
      <c r="L43" s="30"/>
    </row>
    <row r="44" spans="1:12" x14ac:dyDescent="0.3">
      <c r="A44" s="151" t="s">
        <v>218</v>
      </c>
      <c r="I44" s="38"/>
      <c r="J44" s="38"/>
      <c r="K44" s="22" t="s">
        <v>219</v>
      </c>
    </row>
    <row r="45" spans="1:12" s="28" customFormat="1" ht="54.75" customHeight="1" x14ac:dyDescent="0.3">
      <c r="E45" s="76"/>
      <c r="I45" s="73"/>
      <c r="J45" s="73"/>
      <c r="K45" s="140"/>
      <c r="L45" s="29"/>
    </row>
    <row r="46" spans="1:12" ht="23.25" customHeight="1" x14ac:dyDescent="0.3">
      <c r="C46" s="134"/>
      <c r="D46" s="134"/>
      <c r="E46" s="134"/>
      <c r="F46" s="134"/>
      <c r="G46" s="134"/>
      <c r="I46" s="38"/>
      <c r="J46" s="38"/>
      <c r="K46" s="22"/>
      <c r="L46" s="77"/>
    </row>
    <row r="47" spans="1:12" x14ac:dyDescent="0.3">
      <c r="A47" s="177" t="s">
        <v>220</v>
      </c>
      <c r="B47" s="177"/>
      <c r="C47" s="134"/>
      <c r="D47" s="134"/>
      <c r="E47" s="134"/>
      <c r="F47" s="134"/>
      <c r="G47" s="134"/>
      <c r="I47" s="38"/>
      <c r="J47" s="38"/>
      <c r="K47" s="22" t="s">
        <v>16</v>
      </c>
    </row>
    <row r="48" spans="1:12" x14ac:dyDescent="0.3">
      <c r="A48" s="21"/>
      <c r="I48" s="38"/>
      <c r="J48" s="38"/>
      <c r="K48" s="22"/>
    </row>
    <row r="49" spans="1:11" x14ac:dyDescent="0.3">
      <c r="A49" s="21"/>
      <c r="I49" s="38"/>
      <c r="J49" s="38"/>
      <c r="K49" s="22"/>
    </row>
    <row r="50" spans="1:11" x14ac:dyDescent="0.3">
      <c r="A50" s="151" t="s">
        <v>131</v>
      </c>
      <c r="I50" s="38"/>
      <c r="J50" s="38"/>
      <c r="K50" s="22" t="s">
        <v>17</v>
      </c>
    </row>
    <row r="51" spans="1:11" ht="31.5" customHeight="1" x14ac:dyDescent="0.3">
      <c r="C51" s="77"/>
      <c r="I51" s="38"/>
      <c r="J51" s="38"/>
      <c r="K51" s="38"/>
    </row>
    <row r="52" spans="1:11" x14ac:dyDescent="0.3">
      <c r="A52" s="151" t="s">
        <v>221</v>
      </c>
      <c r="I52" s="38"/>
      <c r="J52" s="38"/>
      <c r="K52" s="22" t="s">
        <v>222</v>
      </c>
    </row>
    <row r="53" spans="1:11" x14ac:dyDescent="0.3">
      <c r="C53" s="77"/>
      <c r="I53" s="77"/>
    </row>
    <row r="54" spans="1:11" x14ac:dyDescent="0.3">
      <c r="C54" s="77"/>
      <c r="I54" s="77"/>
    </row>
    <row r="55" spans="1:11" x14ac:dyDescent="0.3">
      <c r="I55" s="77"/>
    </row>
    <row r="57" spans="1:11" x14ac:dyDescent="0.3">
      <c r="I57" s="77"/>
    </row>
    <row r="58" spans="1:11" x14ac:dyDescent="0.3">
      <c r="I58" s="73">
        <f>I40*1.2</f>
        <v>11606931.575999999</v>
      </c>
    </row>
  </sheetData>
  <mergeCells count="23">
    <mergeCell ref="A47:B47"/>
    <mergeCell ref="H9:L9"/>
    <mergeCell ref="H10:L10"/>
    <mergeCell ref="F12:G12"/>
    <mergeCell ref="F8:G8"/>
    <mergeCell ref="F10:G10"/>
    <mergeCell ref="F9:G9"/>
    <mergeCell ref="F11:G11"/>
    <mergeCell ref="H11:L11"/>
    <mergeCell ref="H7:L7"/>
    <mergeCell ref="H8:L8"/>
    <mergeCell ref="A16:K16"/>
    <mergeCell ref="H12:L12"/>
    <mergeCell ref="H13:L13"/>
    <mergeCell ref="F13:G13"/>
    <mergeCell ref="F7:G7"/>
    <mergeCell ref="A2:L2"/>
    <mergeCell ref="H6:L6"/>
    <mergeCell ref="F6:G6"/>
    <mergeCell ref="H5:L5"/>
    <mergeCell ref="A3:L3"/>
    <mergeCell ref="A4:L4"/>
    <mergeCell ref="F5:G5"/>
  </mergeCells>
  <phoneticPr fontId="3" type="noConversion"/>
  <conditionalFormatting sqref="L41:L43 I41:K41 I43:K43 J42:K42 I58 I51:K51 I46:J50 I45:K45">
    <cfRule type="cellIs" dxfId="49" priority="21" operator="notEqual">
      <formula>0</formula>
    </cfRule>
    <cfRule type="cellIs" dxfId="48" priority="22" operator="notEqual">
      <formula>0</formula>
    </cfRule>
  </conditionalFormatting>
  <conditionalFormatting sqref="I41:K41 I43:K43 J42:K42 I58 I51:K51 I46:J50 I45:K45">
    <cfRule type="cellIs" dxfId="47" priority="20" operator="notEqual">
      <formula>0</formula>
    </cfRule>
  </conditionalFormatting>
  <conditionalFormatting sqref="G42:I42">
    <cfRule type="cellIs" dxfId="46" priority="19" operator="notEqual">
      <formula>0</formula>
    </cfRule>
  </conditionalFormatting>
  <conditionalFormatting sqref="G42:H43 L41:L43 I42">
    <cfRule type="cellIs" dxfId="45" priority="18" operator="notEqual">
      <formula>0</formula>
    </cfRule>
  </conditionalFormatting>
  <conditionalFormatting sqref="C41:H41">
    <cfRule type="cellIs" dxfId="44" priority="7" operator="notEqual">
      <formula>0</formula>
    </cfRule>
  </conditionalFormatting>
  <conditionalFormatting sqref="C41:H41">
    <cfRule type="cellIs" dxfId="43" priority="8" operator="notEqual">
      <formula>0</formula>
    </cfRule>
    <cfRule type="cellIs" dxfId="42" priority="9" operator="notEqual">
      <formula>0</formula>
    </cfRule>
  </conditionalFormatting>
  <conditionalFormatting sqref="I44:J44">
    <cfRule type="cellIs" dxfId="41" priority="5" operator="notEqual">
      <formula>0</formula>
    </cfRule>
    <cfRule type="cellIs" dxfId="40" priority="6" operator="notEqual">
      <formula>0</formula>
    </cfRule>
  </conditionalFormatting>
  <conditionalFormatting sqref="I44:J44">
    <cfRule type="cellIs" dxfId="39" priority="4" operator="notEqual">
      <formula>0</formula>
    </cfRule>
  </conditionalFormatting>
  <conditionalFormatting sqref="I52:J52">
    <cfRule type="cellIs" dxfId="38" priority="2" operator="notEqual">
      <formula>0</formula>
    </cfRule>
    <cfRule type="cellIs" dxfId="37" priority="3" operator="notEqual">
      <formula>0</formula>
    </cfRule>
  </conditionalFormatting>
  <conditionalFormatting sqref="I52:J52">
    <cfRule type="cellIs" dxfId="36" priority="1" operator="notEqual">
      <formula>0</formula>
    </cfRule>
  </conditionalFormatting>
  <printOptions horizontalCentered="1"/>
  <pageMargins left="0.39370078740157483" right="0.39370078740157483" top="1.1811023622047245" bottom="0.39370078740157483" header="0.31496062992125984" footer="0.31496062992125984"/>
  <pageSetup paperSize="9" scale="43" fitToHeight="2" orientation="landscape" r:id="rId1"/>
  <rowBreaks count="1" manualBreakCount="1">
    <brk id="15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32B43-70EC-42A8-9140-355AB173D16E}">
  <dimension ref="A1:M65"/>
  <sheetViews>
    <sheetView view="pageBreakPreview" topLeftCell="C25" zoomScale="55" zoomScaleNormal="70" zoomScaleSheetLayoutView="55" workbookViewId="0">
      <selection activeCell="J31" sqref="J31:J49"/>
    </sheetView>
  </sheetViews>
  <sheetFormatPr defaultRowHeight="18.75" x14ac:dyDescent="0.3"/>
  <cols>
    <col min="1" max="1" width="9.140625" style="15"/>
    <col min="2" max="2" width="51.7109375" style="15" customWidth="1"/>
    <col min="3" max="3" width="26.85546875" style="15" customWidth="1"/>
    <col min="4" max="4" width="23.42578125" style="15" customWidth="1"/>
    <col min="5" max="5" width="24.140625" style="15" customWidth="1"/>
    <col min="6" max="6" width="23.85546875" style="15" customWidth="1"/>
    <col min="7" max="8" width="23.5703125" style="15" customWidth="1"/>
    <col min="9" max="9" width="23.28515625" style="15" customWidth="1"/>
    <col min="10" max="10" width="18.28515625" style="15" customWidth="1"/>
    <col min="11" max="11" width="26.140625" style="15" customWidth="1"/>
    <col min="12" max="12" width="22.85546875" style="15" customWidth="1"/>
    <col min="13" max="13" width="24.140625" style="15" customWidth="1"/>
    <col min="14" max="16384" width="9.140625" style="15"/>
  </cols>
  <sheetData>
    <row r="1" spans="1:13" ht="33.75" customHeight="1" x14ac:dyDescent="0.3">
      <c r="A1" s="173" t="s">
        <v>79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33.75" customHeight="1" x14ac:dyDescent="0.3">
      <c r="A2" s="243" t="s">
        <v>20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</row>
    <row r="3" spans="1:13" s="1" customFormat="1" ht="30" customHeight="1" thickBot="1" x14ac:dyDescent="0.3">
      <c r="A3" s="251" t="s">
        <v>81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</row>
    <row r="4" spans="1:13" ht="56.25" x14ac:dyDescent="0.3">
      <c r="A4" s="16" t="s">
        <v>0</v>
      </c>
      <c r="B4" s="138" t="s">
        <v>1</v>
      </c>
      <c r="C4" s="138" t="s">
        <v>30</v>
      </c>
      <c r="D4" s="138" t="s">
        <v>133</v>
      </c>
      <c r="E4" s="138" t="s">
        <v>134</v>
      </c>
      <c r="F4" s="244" t="s">
        <v>2</v>
      </c>
      <c r="G4" s="252"/>
      <c r="H4" s="244" t="s">
        <v>3</v>
      </c>
      <c r="I4" s="245"/>
      <c r="J4" s="245"/>
      <c r="K4" s="245"/>
      <c r="L4" s="245"/>
      <c r="M4" s="246"/>
    </row>
    <row r="5" spans="1:13" s="1" customFormat="1" ht="15.75" x14ac:dyDescent="0.25">
      <c r="A5" s="93">
        <v>1</v>
      </c>
      <c r="B5" s="12">
        <v>2</v>
      </c>
      <c r="C5" s="12">
        <v>3</v>
      </c>
      <c r="D5" s="12">
        <v>4</v>
      </c>
      <c r="E5" s="12">
        <v>5</v>
      </c>
      <c r="F5" s="247">
        <v>6</v>
      </c>
      <c r="G5" s="253"/>
      <c r="H5" s="247">
        <v>7</v>
      </c>
      <c r="I5" s="248"/>
      <c r="J5" s="248"/>
      <c r="K5" s="248"/>
      <c r="L5" s="248"/>
      <c r="M5" s="249"/>
    </row>
    <row r="6" spans="1:13" ht="27.75" customHeight="1" x14ac:dyDescent="0.3">
      <c r="A6" s="254" t="s">
        <v>70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6"/>
    </row>
    <row r="7" spans="1:13" s="20" customFormat="1" ht="60.75" customHeight="1" x14ac:dyDescent="0.3">
      <c r="A7" s="141" t="s">
        <v>4</v>
      </c>
      <c r="B7" s="142" t="s">
        <v>59</v>
      </c>
      <c r="C7" s="142"/>
      <c r="D7" s="143">
        <f>D8+D9+D10</f>
        <v>19.04</v>
      </c>
      <c r="E7" s="143">
        <f>E8+E9+E10</f>
        <v>19.04</v>
      </c>
      <c r="F7" s="240" t="s">
        <v>49</v>
      </c>
      <c r="G7" s="240"/>
      <c r="H7" s="217" t="s">
        <v>51</v>
      </c>
      <c r="I7" s="218"/>
      <c r="J7" s="218"/>
      <c r="K7" s="218"/>
      <c r="L7" s="218"/>
      <c r="M7" s="219"/>
    </row>
    <row r="8" spans="1:13" s="20" customFormat="1" ht="31.5" customHeight="1" x14ac:dyDescent="0.3">
      <c r="A8" s="144" t="s">
        <v>66</v>
      </c>
      <c r="B8" s="119" t="s">
        <v>34</v>
      </c>
      <c r="C8" s="119" t="s">
        <v>31</v>
      </c>
      <c r="D8" s="120">
        <v>2.17</v>
      </c>
      <c r="E8" s="120">
        <v>2.17</v>
      </c>
      <c r="F8" s="240"/>
      <c r="G8" s="240"/>
      <c r="H8" s="220"/>
      <c r="I8" s="221"/>
      <c r="J8" s="221"/>
      <c r="K8" s="221"/>
      <c r="L8" s="221"/>
      <c r="M8" s="222"/>
    </row>
    <row r="9" spans="1:13" s="20" customFormat="1" ht="37.5" x14ac:dyDescent="0.3">
      <c r="A9" s="144" t="s">
        <v>68</v>
      </c>
      <c r="B9" s="119" t="s">
        <v>35</v>
      </c>
      <c r="C9" s="119" t="s">
        <v>38</v>
      </c>
      <c r="D9" s="120">
        <v>0.65</v>
      </c>
      <c r="E9" s="120">
        <v>0.65</v>
      </c>
      <c r="F9" s="240"/>
      <c r="G9" s="240"/>
      <c r="H9" s="220"/>
      <c r="I9" s="221"/>
      <c r="J9" s="221"/>
      <c r="K9" s="221"/>
      <c r="L9" s="221"/>
      <c r="M9" s="222"/>
    </row>
    <row r="10" spans="1:13" s="20" customFormat="1" x14ac:dyDescent="0.3">
      <c r="A10" s="144" t="s">
        <v>67</v>
      </c>
      <c r="B10" s="119" t="s">
        <v>40</v>
      </c>
      <c r="C10" s="119" t="s">
        <v>48</v>
      </c>
      <c r="D10" s="120">
        <v>16.22</v>
      </c>
      <c r="E10" s="120">
        <v>16.22</v>
      </c>
      <c r="F10" s="240"/>
      <c r="G10" s="240"/>
      <c r="H10" s="220"/>
      <c r="I10" s="221"/>
      <c r="J10" s="221"/>
      <c r="K10" s="221"/>
      <c r="L10" s="221"/>
      <c r="M10" s="222"/>
    </row>
    <row r="11" spans="1:13" s="20" customFormat="1" ht="56.25" x14ac:dyDescent="0.3">
      <c r="A11" s="141" t="s">
        <v>5</v>
      </c>
      <c r="B11" s="142" t="s">
        <v>60</v>
      </c>
      <c r="C11" s="142"/>
      <c r="D11" s="143">
        <f>D12+D13+D14</f>
        <v>23.279999999999998</v>
      </c>
      <c r="E11" s="143">
        <f>E12+E13+E14</f>
        <v>23.279999999999998</v>
      </c>
      <c r="F11" s="240"/>
      <c r="G11" s="240"/>
      <c r="H11" s="220"/>
      <c r="I11" s="221"/>
      <c r="J11" s="221"/>
      <c r="K11" s="221"/>
      <c r="L11" s="221"/>
      <c r="M11" s="222"/>
    </row>
    <row r="12" spans="1:13" s="20" customFormat="1" ht="31.5" customHeight="1" x14ac:dyDescent="0.3">
      <c r="A12" s="144" t="s">
        <v>41</v>
      </c>
      <c r="B12" s="119" t="s">
        <v>36</v>
      </c>
      <c r="C12" s="119" t="s">
        <v>32</v>
      </c>
      <c r="D12" s="120">
        <v>5.43</v>
      </c>
      <c r="E12" s="120">
        <v>5.43</v>
      </c>
      <c r="F12" s="240"/>
      <c r="G12" s="240"/>
      <c r="H12" s="220"/>
      <c r="I12" s="221"/>
      <c r="J12" s="221"/>
      <c r="K12" s="221"/>
      <c r="L12" s="221"/>
      <c r="M12" s="222"/>
    </row>
    <row r="13" spans="1:13" s="20" customFormat="1" ht="37.5" x14ac:dyDescent="0.3">
      <c r="A13" s="144" t="s">
        <v>42</v>
      </c>
      <c r="B13" s="119" t="s">
        <v>37</v>
      </c>
      <c r="C13" s="119" t="s">
        <v>33</v>
      </c>
      <c r="D13" s="120">
        <v>1.63</v>
      </c>
      <c r="E13" s="120">
        <v>1.63</v>
      </c>
      <c r="F13" s="240"/>
      <c r="G13" s="240"/>
      <c r="H13" s="220"/>
      <c r="I13" s="221"/>
      <c r="J13" s="221"/>
      <c r="K13" s="221"/>
      <c r="L13" s="221"/>
      <c r="M13" s="222"/>
    </row>
    <row r="14" spans="1:13" s="20" customFormat="1" x14ac:dyDescent="0.3">
      <c r="A14" s="144" t="s">
        <v>43</v>
      </c>
      <c r="B14" s="119" t="s">
        <v>40</v>
      </c>
      <c r="C14" s="119" t="s">
        <v>48</v>
      </c>
      <c r="D14" s="120">
        <v>16.22</v>
      </c>
      <c r="E14" s="120">
        <v>16.22</v>
      </c>
      <c r="F14" s="240"/>
      <c r="G14" s="240"/>
      <c r="H14" s="220"/>
      <c r="I14" s="221"/>
      <c r="J14" s="221"/>
      <c r="K14" s="221"/>
      <c r="L14" s="221"/>
      <c r="M14" s="222"/>
    </row>
    <row r="15" spans="1:13" s="20" customFormat="1" ht="63.75" customHeight="1" x14ac:dyDescent="0.3">
      <c r="A15" s="145" t="s">
        <v>8</v>
      </c>
      <c r="B15" s="146" t="s">
        <v>143</v>
      </c>
      <c r="C15" s="142"/>
      <c r="D15" s="143">
        <f>D16+D17+D18+D19</f>
        <v>223.79999999999998</v>
      </c>
      <c r="E15" s="143">
        <f>E16+E17+E18+E19</f>
        <v>223.79999999999998</v>
      </c>
      <c r="F15" s="250"/>
      <c r="G15" s="250"/>
      <c r="H15" s="220"/>
      <c r="I15" s="221"/>
      <c r="J15" s="221"/>
      <c r="K15" s="221"/>
      <c r="L15" s="221"/>
      <c r="M15" s="222"/>
    </row>
    <row r="16" spans="1:13" s="20" customFormat="1" ht="63.75" customHeight="1" x14ac:dyDescent="0.3">
      <c r="A16" s="144" t="s">
        <v>61</v>
      </c>
      <c r="B16" s="119" t="s">
        <v>144</v>
      </c>
      <c r="C16" s="119" t="s">
        <v>44</v>
      </c>
      <c r="D16" s="120">
        <v>4.03</v>
      </c>
      <c r="E16" s="120">
        <v>4.03</v>
      </c>
      <c r="F16" s="240" t="s">
        <v>122</v>
      </c>
      <c r="G16" s="240"/>
      <c r="H16" s="220"/>
      <c r="I16" s="221"/>
      <c r="J16" s="221"/>
      <c r="K16" s="221"/>
      <c r="L16" s="221"/>
      <c r="M16" s="222"/>
    </row>
    <row r="17" spans="1:13" s="20" customFormat="1" ht="44.25" customHeight="1" x14ac:dyDescent="0.3">
      <c r="A17" s="144" t="s">
        <v>62</v>
      </c>
      <c r="B17" s="119" t="s">
        <v>50</v>
      </c>
      <c r="C17" s="119" t="s">
        <v>45</v>
      </c>
      <c r="D17" s="120">
        <v>87.57</v>
      </c>
      <c r="E17" s="120">
        <v>87.57</v>
      </c>
      <c r="F17" s="240"/>
      <c r="G17" s="240"/>
      <c r="H17" s="220"/>
      <c r="I17" s="221"/>
      <c r="J17" s="221"/>
      <c r="K17" s="221"/>
      <c r="L17" s="221"/>
      <c r="M17" s="222"/>
    </row>
    <row r="18" spans="1:13" s="20" customFormat="1" ht="75" x14ac:dyDescent="0.3">
      <c r="A18" s="144" t="s">
        <v>63</v>
      </c>
      <c r="B18" s="119" t="s">
        <v>145</v>
      </c>
      <c r="C18" s="119" t="s">
        <v>46</v>
      </c>
      <c r="D18" s="120">
        <v>92.88</v>
      </c>
      <c r="E18" s="120">
        <v>92.88</v>
      </c>
      <c r="F18" s="240"/>
      <c r="G18" s="240"/>
      <c r="H18" s="220"/>
      <c r="I18" s="221"/>
      <c r="J18" s="221"/>
      <c r="K18" s="221"/>
      <c r="L18" s="221"/>
      <c r="M18" s="222"/>
    </row>
    <row r="19" spans="1:13" s="20" customFormat="1" ht="47.25" customHeight="1" x14ac:dyDescent="0.3">
      <c r="A19" s="144" t="s">
        <v>69</v>
      </c>
      <c r="B19" s="119" t="s">
        <v>39</v>
      </c>
      <c r="C19" s="119" t="s">
        <v>47</v>
      </c>
      <c r="D19" s="120">
        <v>39.32</v>
      </c>
      <c r="E19" s="120">
        <v>39.32</v>
      </c>
      <c r="F19" s="240" t="s">
        <v>132</v>
      </c>
      <c r="G19" s="240"/>
      <c r="H19" s="223"/>
      <c r="I19" s="224"/>
      <c r="J19" s="224"/>
      <c r="K19" s="224"/>
      <c r="L19" s="224"/>
      <c r="M19" s="225"/>
    </row>
    <row r="20" spans="1:13" s="20" customFormat="1" ht="30.75" customHeight="1" x14ac:dyDescent="0.3">
      <c r="A20" s="237" t="s">
        <v>135</v>
      </c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9"/>
    </row>
    <row r="21" spans="1:13" s="20" customFormat="1" ht="89.25" customHeight="1" x14ac:dyDescent="0.3">
      <c r="A21" s="118" t="s">
        <v>18</v>
      </c>
      <c r="B21" s="119" t="s">
        <v>217</v>
      </c>
      <c r="C21" s="119"/>
      <c r="D21" s="120">
        <f>10550-1758.33</f>
        <v>8791.67</v>
      </c>
      <c r="E21" s="147" t="s">
        <v>126</v>
      </c>
      <c r="F21" s="226" t="s">
        <v>146</v>
      </c>
      <c r="G21" s="227"/>
      <c r="H21" s="214" t="s">
        <v>52</v>
      </c>
      <c r="I21" s="215"/>
      <c r="J21" s="215"/>
      <c r="K21" s="215"/>
      <c r="L21" s="215"/>
      <c r="M21" s="216"/>
    </row>
    <row r="22" spans="1:13" s="20" customFormat="1" ht="89.25" customHeight="1" x14ac:dyDescent="0.3">
      <c r="A22" s="118" t="s">
        <v>19</v>
      </c>
      <c r="B22" s="119" t="s">
        <v>217</v>
      </c>
      <c r="C22" s="119"/>
      <c r="D22" s="120">
        <f>20050-3341.67</f>
        <v>16708.330000000002</v>
      </c>
      <c r="E22" s="120">
        <f>ROUND(28900/1.2,2)</f>
        <v>24083.33</v>
      </c>
      <c r="F22" s="226" t="s">
        <v>136</v>
      </c>
      <c r="G22" s="227"/>
      <c r="H22" s="214" t="s">
        <v>232</v>
      </c>
      <c r="I22" s="215"/>
      <c r="J22" s="215"/>
      <c r="K22" s="215"/>
      <c r="L22" s="215"/>
      <c r="M22" s="216"/>
    </row>
    <row r="23" spans="1:13" s="20" customFormat="1" ht="48" customHeight="1" thickBot="1" x14ac:dyDescent="0.35">
      <c r="A23" s="122" t="s">
        <v>21</v>
      </c>
      <c r="B23" s="123" t="s">
        <v>65</v>
      </c>
      <c r="C23" s="123"/>
      <c r="D23" s="124">
        <v>671.5</v>
      </c>
      <c r="E23" s="169">
        <f>ROUND(881.89/1.2,2)</f>
        <v>734.91</v>
      </c>
      <c r="F23" s="228" t="s">
        <v>120</v>
      </c>
      <c r="G23" s="229"/>
      <c r="H23" s="228" t="s">
        <v>231</v>
      </c>
      <c r="I23" s="241"/>
      <c r="J23" s="241"/>
      <c r="K23" s="241"/>
      <c r="L23" s="241"/>
      <c r="M23" s="242"/>
    </row>
    <row r="24" spans="1:13" x14ac:dyDescent="0.3">
      <c r="A24" s="231"/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</row>
    <row r="25" spans="1:13" ht="15" customHeight="1" x14ac:dyDescent="0.3"/>
    <row r="26" spans="1:13" ht="53.25" customHeight="1" x14ac:dyDescent="0.3">
      <c r="A26" s="173" t="s">
        <v>80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</row>
    <row r="27" spans="1:13" s="1" customFormat="1" ht="21.75" customHeight="1" thickBot="1" x14ac:dyDescent="0.3">
      <c r="A27" s="3"/>
      <c r="M27" s="152" t="s">
        <v>82</v>
      </c>
    </row>
    <row r="28" spans="1:13" ht="170.25" customHeight="1" x14ac:dyDescent="0.3">
      <c r="A28" s="235" t="s">
        <v>0</v>
      </c>
      <c r="B28" s="234" t="s">
        <v>9</v>
      </c>
      <c r="C28" s="138" t="s">
        <v>53</v>
      </c>
      <c r="D28" s="138" t="s">
        <v>54</v>
      </c>
      <c r="E28" s="138" t="s">
        <v>141</v>
      </c>
      <c r="F28" s="148" t="s">
        <v>57</v>
      </c>
      <c r="G28" s="148" t="s">
        <v>58</v>
      </c>
      <c r="H28" s="148" t="s">
        <v>64</v>
      </c>
      <c r="I28" s="148" t="s">
        <v>74</v>
      </c>
      <c r="J28" s="138" t="s">
        <v>75</v>
      </c>
      <c r="K28" s="138" t="s">
        <v>65</v>
      </c>
      <c r="L28" s="138" t="s">
        <v>71</v>
      </c>
      <c r="M28" s="139" t="s">
        <v>72</v>
      </c>
    </row>
    <row r="29" spans="1:13" s="1" customFormat="1" ht="15.75" x14ac:dyDescent="0.25">
      <c r="A29" s="236"/>
      <c r="B29" s="179"/>
      <c r="C29" s="113" t="s">
        <v>12</v>
      </c>
      <c r="D29" s="10" t="s">
        <v>12</v>
      </c>
      <c r="E29" s="114" t="s">
        <v>12</v>
      </c>
      <c r="F29" s="114" t="s">
        <v>12</v>
      </c>
      <c r="G29" s="10" t="s">
        <v>13</v>
      </c>
      <c r="H29" s="10" t="s">
        <v>13</v>
      </c>
      <c r="I29" s="10" t="s">
        <v>13</v>
      </c>
      <c r="J29" s="10" t="s">
        <v>99</v>
      </c>
      <c r="K29" s="10" t="s">
        <v>13</v>
      </c>
      <c r="L29" s="10" t="s">
        <v>13</v>
      </c>
      <c r="M29" s="11" t="s">
        <v>13</v>
      </c>
    </row>
    <row r="30" spans="1:13" s="156" customFormat="1" ht="24" customHeight="1" x14ac:dyDescent="0.25">
      <c r="A30" s="153">
        <v>1</v>
      </c>
      <c r="B30" s="154">
        <v>2</v>
      </c>
      <c r="C30" s="154">
        <v>3</v>
      </c>
      <c r="D30" s="154">
        <v>4</v>
      </c>
      <c r="E30" s="154">
        <v>5</v>
      </c>
      <c r="F30" s="154" t="s">
        <v>104</v>
      </c>
      <c r="G30" s="154" t="s">
        <v>105</v>
      </c>
      <c r="H30" s="154" t="s">
        <v>92</v>
      </c>
      <c r="I30" s="154" t="s">
        <v>91</v>
      </c>
      <c r="J30" s="154">
        <v>10</v>
      </c>
      <c r="K30" s="154" t="s">
        <v>93</v>
      </c>
      <c r="L30" s="154" t="s">
        <v>94</v>
      </c>
      <c r="M30" s="155" t="s">
        <v>95</v>
      </c>
    </row>
    <row r="31" spans="1:13" s="29" customFormat="1" x14ac:dyDescent="0.3">
      <c r="A31" s="24">
        <v>1</v>
      </c>
      <c r="B31" s="25" t="str">
        <f>'Стоимость ПУ 2022'!B21</f>
        <v>МКД ул. Пестова д. 22 корп. 1</v>
      </c>
      <c r="C31" s="26">
        <f>'Стоимость ПУ 2022'!J21</f>
        <v>56</v>
      </c>
      <c r="D31" s="26">
        <f>'Стоимость ПУ 2022'!K21</f>
        <v>1</v>
      </c>
      <c r="E31" s="27">
        <v>29.84</v>
      </c>
      <c r="F31" s="27">
        <f>ROUND(C31*$D$7*E31,2)</f>
        <v>31816.6</v>
      </c>
      <c r="G31" s="27">
        <f>ROUND(D31*$D$11*E31,2)</f>
        <v>694.68</v>
      </c>
      <c r="H31" s="27">
        <f>ROUND($D$15*E31,2)</f>
        <v>6678.19</v>
      </c>
      <c r="I31" s="27">
        <f>ROUND((F31+G31+H31)*30.3%,2)-0.01</f>
        <v>11874.4</v>
      </c>
      <c r="J31" s="27">
        <v>8</v>
      </c>
      <c r="K31" s="27">
        <f>J31*$D$23</f>
        <v>5372</v>
      </c>
      <c r="L31" s="27">
        <f>D21</f>
        <v>8791.67</v>
      </c>
      <c r="M31" s="106">
        <f>F31+G31+K31+L31+I31+H31</f>
        <v>65227.54</v>
      </c>
    </row>
    <row r="32" spans="1:13" s="29" customFormat="1" x14ac:dyDescent="0.3">
      <c r="A32" s="24">
        <v>2</v>
      </c>
      <c r="B32" s="25" t="str">
        <f>'Стоимость ПУ 2022'!B22</f>
        <v>МКД ул. Пионерлагерная д. 14</v>
      </c>
      <c r="C32" s="26">
        <f>'Стоимость ПУ 2022'!J22</f>
        <v>39</v>
      </c>
      <c r="D32" s="26">
        <f>'Стоимость ПУ 2022'!K22</f>
        <v>1</v>
      </c>
      <c r="E32" s="27">
        <v>29.84</v>
      </c>
      <c r="F32" s="27">
        <f>ROUND(C32*$D$7*E32,2)</f>
        <v>22157.99</v>
      </c>
      <c r="G32" s="27">
        <f>ROUND(D32*$D$11*E32,2)</f>
        <v>694.68</v>
      </c>
      <c r="H32" s="27">
        <f>ROUND($D$15*E32,2)</f>
        <v>6678.19</v>
      </c>
      <c r="I32" s="27">
        <f>ROUND((F32+G32+H32)*30.3%,2)</f>
        <v>8947.85</v>
      </c>
      <c r="J32" s="27">
        <v>8</v>
      </c>
      <c r="K32" s="27">
        <f t="shared" ref="K32:K33" si="0">J32*$D$23</f>
        <v>5372</v>
      </c>
      <c r="L32" s="27">
        <f>D22</f>
        <v>16708.330000000002</v>
      </c>
      <c r="M32" s="106">
        <f>F32+G32+K32+L32+I32+H32</f>
        <v>60559.040000000001</v>
      </c>
    </row>
    <row r="33" spans="1:13" s="28" customFormat="1" x14ac:dyDescent="0.3">
      <c r="A33" s="24">
        <v>3</v>
      </c>
      <c r="B33" s="31" t="str">
        <f>'Стоимость ПУ 2022'!B23</f>
        <v>МКД ул. Адмиральского д. 31</v>
      </c>
      <c r="C33" s="109">
        <f>'Стоимость ПУ 2022'!J23</f>
        <v>105</v>
      </c>
      <c r="D33" s="32">
        <f>'Стоимость ПУ 2022'!K23</f>
        <v>1</v>
      </c>
      <c r="E33" s="33">
        <v>29.84</v>
      </c>
      <c r="F33" s="33">
        <f>ROUND(C33*$D$7*E33,2)</f>
        <v>59656.13</v>
      </c>
      <c r="G33" s="33">
        <f>ROUND(D33*$D$11*E33,2)</f>
        <v>694.68</v>
      </c>
      <c r="H33" s="33">
        <f t="shared" ref="H33" si="1">ROUND($D$15*E33,2)</f>
        <v>6678.19</v>
      </c>
      <c r="I33" s="33">
        <f t="shared" ref="I33:I49" si="2">ROUND((F33+G33+H33)*30.3%,2)</f>
        <v>20309.79</v>
      </c>
      <c r="J33" s="33">
        <v>8</v>
      </c>
      <c r="K33" s="33">
        <f t="shared" si="0"/>
        <v>5372</v>
      </c>
      <c r="L33" s="33">
        <f>D22</f>
        <v>16708.330000000002</v>
      </c>
      <c r="M33" s="106">
        <f t="shared" ref="M33:M49" si="3">F33+G33+K33+L33+I33+H33</f>
        <v>109419.12</v>
      </c>
    </row>
    <row r="34" spans="1:13" s="28" customFormat="1" x14ac:dyDescent="0.3">
      <c r="A34" s="24">
        <v>4</v>
      </c>
      <c r="B34" s="31" t="str">
        <f>'Стоимость ПУ 2022'!B24</f>
        <v>МКД проезд Оранжерейный д. 7 корп. 2</v>
      </c>
      <c r="C34" s="109">
        <f>'Стоимость ПУ 2022'!J24</f>
        <v>20</v>
      </c>
      <c r="D34" s="32">
        <f>'Стоимость ПУ 2022'!K24</f>
        <v>1</v>
      </c>
      <c r="E34" s="33">
        <v>29.84</v>
      </c>
      <c r="F34" s="33">
        <f>ROUND(C34*$E$7*E34,2)</f>
        <v>11363.07</v>
      </c>
      <c r="G34" s="33">
        <f>ROUND(D34*$E$11*E34,2)</f>
        <v>694.68</v>
      </c>
      <c r="H34" s="33">
        <f>ROUND($E$15*E34,2)</f>
        <v>6678.19</v>
      </c>
      <c r="I34" s="33">
        <f t="shared" si="2"/>
        <v>5676.99</v>
      </c>
      <c r="J34" s="33">
        <v>8</v>
      </c>
      <c r="K34" s="33">
        <f>J34*$E$23</f>
        <v>5879.28</v>
      </c>
      <c r="L34" s="33">
        <f>$E$22</f>
        <v>24083.33</v>
      </c>
      <c r="M34" s="110">
        <f t="shared" si="3"/>
        <v>54375.54</v>
      </c>
    </row>
    <row r="35" spans="1:13" s="28" customFormat="1" x14ac:dyDescent="0.3">
      <c r="A35" s="24">
        <v>5</v>
      </c>
      <c r="B35" s="31" t="str">
        <f>'Стоимость ПУ 2022'!B25</f>
        <v>МКД ул. Октябрьская д. 46</v>
      </c>
      <c r="C35" s="109">
        <f>'Стоимость ПУ 2022'!J25</f>
        <v>26</v>
      </c>
      <c r="D35" s="32">
        <f>'Стоимость ПУ 2022'!K25</f>
        <v>2</v>
      </c>
      <c r="E35" s="33">
        <v>29.84</v>
      </c>
      <c r="F35" s="33">
        <f t="shared" ref="F35:F49" si="4">ROUND(C35*$E$7*E35,2)</f>
        <v>14771.99</v>
      </c>
      <c r="G35" s="33">
        <f t="shared" ref="G35:G49" si="5">ROUND(D35*$E$11*E35,2)</f>
        <v>1389.35</v>
      </c>
      <c r="H35" s="33">
        <f t="shared" ref="H35:H49" si="6">ROUND($E$15*E35,2)</f>
        <v>6678.19</v>
      </c>
      <c r="I35" s="33">
        <f>ROUND((F35+G35+H35)*30.3%,2)</f>
        <v>6920.38</v>
      </c>
      <c r="J35" s="33">
        <v>8</v>
      </c>
      <c r="K35" s="33">
        <f t="shared" ref="K35:K49" si="7">J35*$E$23</f>
        <v>5879.28</v>
      </c>
      <c r="L35" s="33">
        <f t="shared" ref="L35:L49" si="8">$E$22</f>
        <v>24083.33</v>
      </c>
      <c r="M35" s="110">
        <f t="shared" si="3"/>
        <v>59722.52</v>
      </c>
    </row>
    <row r="36" spans="1:13" s="28" customFormat="1" x14ac:dyDescent="0.3">
      <c r="A36" s="24">
        <v>6</v>
      </c>
      <c r="B36" s="31" t="str">
        <f>'Стоимость ПУ 2022'!B26</f>
        <v>МКД ул. Первая Бульварная д. 4А</v>
      </c>
      <c r="C36" s="109">
        <f>'Стоимость ПУ 2022'!J26</f>
        <v>53</v>
      </c>
      <c r="D36" s="32">
        <f>'Стоимость ПУ 2022'!K26</f>
        <v>1</v>
      </c>
      <c r="E36" s="33">
        <v>29.84</v>
      </c>
      <c r="F36" s="33">
        <f t="shared" si="4"/>
        <v>30112.14</v>
      </c>
      <c r="G36" s="33">
        <f t="shared" si="5"/>
        <v>694.68</v>
      </c>
      <c r="H36" s="33">
        <f t="shared" si="6"/>
        <v>6678.19</v>
      </c>
      <c r="I36" s="33">
        <f t="shared" si="2"/>
        <v>11357.96</v>
      </c>
      <c r="J36" s="33">
        <v>8</v>
      </c>
      <c r="K36" s="33">
        <f t="shared" si="7"/>
        <v>5879.28</v>
      </c>
      <c r="L36" s="33">
        <f t="shared" si="8"/>
        <v>24083.33</v>
      </c>
      <c r="M36" s="110">
        <f t="shared" si="3"/>
        <v>78805.58</v>
      </c>
    </row>
    <row r="37" spans="1:13" s="28" customFormat="1" x14ac:dyDescent="0.3">
      <c r="A37" s="24">
        <v>7</v>
      </c>
      <c r="B37" s="31" t="str">
        <f>'Стоимость ПУ 2022'!B27</f>
        <v>МКД ул. Украинская д. 64 корп. 4</v>
      </c>
      <c r="C37" s="109">
        <f>'Стоимость ПУ 2022'!J27</f>
        <v>44</v>
      </c>
      <c r="D37" s="32">
        <f>'Стоимость ПУ 2022'!K27</f>
        <v>1</v>
      </c>
      <c r="E37" s="33">
        <v>29.84</v>
      </c>
      <c r="F37" s="33">
        <f t="shared" si="4"/>
        <v>24998.76</v>
      </c>
      <c r="G37" s="33">
        <f t="shared" si="5"/>
        <v>694.68</v>
      </c>
      <c r="H37" s="33">
        <f t="shared" si="6"/>
        <v>6678.19</v>
      </c>
      <c r="I37" s="33">
        <f t="shared" si="2"/>
        <v>9808.6</v>
      </c>
      <c r="J37" s="33">
        <v>8</v>
      </c>
      <c r="K37" s="33">
        <f t="shared" si="7"/>
        <v>5879.28</v>
      </c>
      <c r="L37" s="33">
        <f t="shared" si="8"/>
        <v>24083.33</v>
      </c>
      <c r="M37" s="110">
        <f t="shared" si="3"/>
        <v>72142.84</v>
      </c>
    </row>
    <row r="38" spans="1:13" s="28" customFormat="1" x14ac:dyDescent="0.3">
      <c r="A38" s="24">
        <v>8</v>
      </c>
      <c r="B38" s="31" t="str">
        <f>'Стоимость ПУ 2022'!B28</f>
        <v>МКД ул. Бутырина д. 2</v>
      </c>
      <c r="C38" s="109">
        <f>'Стоимость ПУ 2022'!J28</f>
        <v>5</v>
      </c>
      <c r="D38" s="32">
        <f>'Стоимость ПУ 2022'!K28</f>
        <v>2</v>
      </c>
      <c r="E38" s="33">
        <f>E37</f>
        <v>29.84</v>
      </c>
      <c r="F38" s="33">
        <f t="shared" si="4"/>
        <v>2840.77</v>
      </c>
      <c r="G38" s="33">
        <f t="shared" si="5"/>
        <v>1389.35</v>
      </c>
      <c r="H38" s="33">
        <f t="shared" si="6"/>
        <v>6678.19</v>
      </c>
      <c r="I38" s="33">
        <f t="shared" si="2"/>
        <v>3305.22</v>
      </c>
      <c r="J38" s="33">
        <v>7</v>
      </c>
      <c r="K38" s="33">
        <f>J38*$E$23</f>
        <v>5144.37</v>
      </c>
      <c r="L38" s="33">
        <f>$E$22</f>
        <v>24083.33</v>
      </c>
      <c r="M38" s="110">
        <f t="shared" si="3"/>
        <v>43441.23</v>
      </c>
    </row>
    <row r="39" spans="1:13" s="28" customFormat="1" x14ac:dyDescent="0.3">
      <c r="A39" s="24">
        <v>9</v>
      </c>
      <c r="B39" s="31" t="str">
        <f>'Стоимость ПУ 2022'!B29</f>
        <v>МКД ул. Кочубея д. 19 корп. 1</v>
      </c>
      <c r="C39" s="109">
        <f>'Стоимость ПУ 2022'!J29</f>
        <v>6</v>
      </c>
      <c r="D39" s="32">
        <f>'Стоимость ПУ 2022'!K29</f>
        <v>2</v>
      </c>
      <c r="E39" s="33">
        <f>E38</f>
        <v>29.84</v>
      </c>
      <c r="F39" s="33">
        <f t="shared" si="4"/>
        <v>3408.92</v>
      </c>
      <c r="G39" s="33">
        <f t="shared" si="5"/>
        <v>1389.35</v>
      </c>
      <c r="H39" s="33">
        <f t="shared" si="6"/>
        <v>6678.19</v>
      </c>
      <c r="I39" s="33">
        <f t="shared" si="2"/>
        <v>3477.37</v>
      </c>
      <c r="J39" s="33">
        <v>7</v>
      </c>
      <c r="K39" s="33">
        <f>J39*$E$23</f>
        <v>5144.37</v>
      </c>
      <c r="L39" s="33">
        <f>$E$22</f>
        <v>24083.33</v>
      </c>
      <c r="M39" s="110">
        <f t="shared" si="3"/>
        <v>44181.530000000006</v>
      </c>
    </row>
    <row r="40" spans="1:13" s="28" customFormat="1" x14ac:dyDescent="0.3">
      <c r="A40" s="24">
        <v>10</v>
      </c>
      <c r="B40" s="31" t="str">
        <f>'Стоимость ПУ 2022'!B30</f>
        <v>МКД ул. Первомайская д. 92 корп. 2</v>
      </c>
      <c r="C40" s="109">
        <f>'Стоимость ПУ 2022'!J30</f>
        <v>30</v>
      </c>
      <c r="D40" s="32">
        <f>'Стоимость ПУ 2022'!K30</f>
        <v>1</v>
      </c>
      <c r="E40" s="33">
        <v>29.84</v>
      </c>
      <c r="F40" s="33">
        <f t="shared" si="4"/>
        <v>17044.61</v>
      </c>
      <c r="G40" s="33">
        <f t="shared" si="5"/>
        <v>694.68</v>
      </c>
      <c r="H40" s="33">
        <f t="shared" si="6"/>
        <v>6678.19</v>
      </c>
      <c r="I40" s="33">
        <f t="shared" si="2"/>
        <v>7398.5</v>
      </c>
      <c r="J40" s="33">
        <v>8</v>
      </c>
      <c r="K40" s="33">
        <f t="shared" si="7"/>
        <v>5879.28</v>
      </c>
      <c r="L40" s="33">
        <f t="shared" si="8"/>
        <v>24083.33</v>
      </c>
      <c r="M40" s="110">
        <f t="shared" si="3"/>
        <v>61778.590000000004</v>
      </c>
    </row>
    <row r="41" spans="1:13" s="28" customFormat="1" x14ac:dyDescent="0.3">
      <c r="A41" s="24">
        <v>11</v>
      </c>
      <c r="B41" s="31" t="str">
        <f>'Стоимость ПУ 2022'!B31</f>
        <v>МКД ул. Первомайская д. 92 корп. 3</v>
      </c>
      <c r="C41" s="109">
        <f>'Стоимость ПУ 2022'!J31</f>
        <v>29</v>
      </c>
      <c r="D41" s="32">
        <f>'Стоимость ПУ 2022'!K31</f>
        <v>1</v>
      </c>
      <c r="E41" s="33">
        <v>29.84</v>
      </c>
      <c r="F41" s="33">
        <f t="shared" si="4"/>
        <v>16476.45</v>
      </c>
      <c r="G41" s="33">
        <f t="shared" si="5"/>
        <v>694.68</v>
      </c>
      <c r="H41" s="33">
        <f t="shared" si="6"/>
        <v>6678.19</v>
      </c>
      <c r="I41" s="33">
        <f t="shared" si="2"/>
        <v>7226.34</v>
      </c>
      <c r="J41" s="33">
        <v>8</v>
      </c>
      <c r="K41" s="33">
        <f t="shared" si="7"/>
        <v>5879.28</v>
      </c>
      <c r="L41" s="33">
        <f t="shared" si="8"/>
        <v>24083.33</v>
      </c>
      <c r="M41" s="110">
        <f t="shared" si="3"/>
        <v>61038.270000000004</v>
      </c>
    </row>
    <row r="42" spans="1:13" s="28" customFormat="1" x14ac:dyDescent="0.3">
      <c r="A42" s="24">
        <v>12</v>
      </c>
      <c r="B42" s="31" t="str">
        <f>'Стоимость ПУ 2022'!B32</f>
        <v>МКД ул. Кузнечная д. 8А</v>
      </c>
      <c r="C42" s="109">
        <f>'Стоимость ПУ 2022'!J32</f>
        <v>31</v>
      </c>
      <c r="D42" s="32">
        <f>'Стоимость ПУ 2022'!K32</f>
        <v>1</v>
      </c>
      <c r="E42" s="33">
        <v>29.84</v>
      </c>
      <c r="F42" s="33">
        <f t="shared" si="4"/>
        <v>17612.759999999998</v>
      </c>
      <c r="G42" s="33">
        <f t="shared" si="5"/>
        <v>694.68</v>
      </c>
      <c r="H42" s="33">
        <f t="shared" si="6"/>
        <v>6678.19</v>
      </c>
      <c r="I42" s="33">
        <f t="shared" si="2"/>
        <v>7570.65</v>
      </c>
      <c r="J42" s="33">
        <v>8</v>
      </c>
      <c r="K42" s="33">
        <f t="shared" si="7"/>
        <v>5879.28</v>
      </c>
      <c r="L42" s="33">
        <f t="shared" si="8"/>
        <v>24083.33</v>
      </c>
      <c r="M42" s="110">
        <f t="shared" si="3"/>
        <v>62518.890000000007</v>
      </c>
    </row>
    <row r="43" spans="1:13" s="28" customFormat="1" x14ac:dyDescent="0.3">
      <c r="A43" s="24">
        <v>13</v>
      </c>
      <c r="B43" s="31" t="str">
        <f>'Стоимость ПУ 2022'!B33</f>
        <v>МКД ул. 1-я набережная д. 32 корп. 5</v>
      </c>
      <c r="C43" s="109">
        <f>'Стоимость ПУ 2022'!J33</f>
        <v>20</v>
      </c>
      <c r="D43" s="32">
        <f>'Стоимость ПУ 2022'!K33</f>
        <v>1</v>
      </c>
      <c r="E43" s="33">
        <v>29.84</v>
      </c>
      <c r="F43" s="33">
        <f t="shared" si="4"/>
        <v>11363.07</v>
      </c>
      <c r="G43" s="33">
        <f t="shared" si="5"/>
        <v>694.68</v>
      </c>
      <c r="H43" s="33">
        <f t="shared" si="6"/>
        <v>6678.19</v>
      </c>
      <c r="I43" s="33">
        <f t="shared" si="2"/>
        <v>5676.99</v>
      </c>
      <c r="J43" s="33">
        <v>8</v>
      </c>
      <c r="K43" s="33">
        <f t="shared" si="7"/>
        <v>5879.28</v>
      </c>
      <c r="L43" s="33">
        <f t="shared" si="8"/>
        <v>24083.33</v>
      </c>
      <c r="M43" s="110">
        <f t="shared" si="3"/>
        <v>54375.54</v>
      </c>
    </row>
    <row r="44" spans="1:13" s="28" customFormat="1" x14ac:dyDescent="0.3">
      <c r="A44" s="24">
        <v>14</v>
      </c>
      <c r="B44" s="31" t="str">
        <f>'Стоимость ПУ 2022'!B34</f>
        <v>МКД ул. Партизанская д. 1Б корп. 4</v>
      </c>
      <c r="C44" s="109">
        <f>'Стоимость ПУ 2022'!J34</f>
        <v>30</v>
      </c>
      <c r="D44" s="32">
        <f>'Стоимость ПУ 2022'!K34</f>
        <v>1</v>
      </c>
      <c r="E44" s="33">
        <v>29.84</v>
      </c>
      <c r="F44" s="33">
        <f t="shared" si="4"/>
        <v>17044.61</v>
      </c>
      <c r="G44" s="33">
        <f t="shared" si="5"/>
        <v>694.68</v>
      </c>
      <c r="H44" s="33">
        <f t="shared" si="6"/>
        <v>6678.19</v>
      </c>
      <c r="I44" s="33">
        <f t="shared" si="2"/>
        <v>7398.5</v>
      </c>
      <c r="J44" s="33">
        <v>8</v>
      </c>
      <c r="K44" s="33">
        <f t="shared" si="7"/>
        <v>5879.28</v>
      </c>
      <c r="L44" s="33">
        <f t="shared" si="8"/>
        <v>24083.33</v>
      </c>
      <c r="M44" s="110">
        <f t="shared" si="3"/>
        <v>61778.590000000004</v>
      </c>
    </row>
    <row r="45" spans="1:13" s="28" customFormat="1" x14ac:dyDescent="0.3">
      <c r="A45" s="24">
        <v>15</v>
      </c>
      <c r="B45" s="31" t="str">
        <f>'Стоимость ПУ 2022'!B35</f>
        <v>МКД ул. Партизанская д. 1Б корп. 5</v>
      </c>
      <c r="C45" s="109">
        <f>'Стоимость ПУ 2022'!J35</f>
        <v>57</v>
      </c>
      <c r="D45" s="32">
        <f>'Стоимость ПУ 2022'!K35</f>
        <v>1</v>
      </c>
      <c r="E45" s="33">
        <v>29.84</v>
      </c>
      <c r="F45" s="33">
        <f t="shared" si="4"/>
        <v>32384.76</v>
      </c>
      <c r="G45" s="33">
        <f t="shared" si="5"/>
        <v>694.68</v>
      </c>
      <c r="H45" s="33">
        <f t="shared" si="6"/>
        <v>6678.19</v>
      </c>
      <c r="I45" s="33">
        <f t="shared" si="2"/>
        <v>12046.56</v>
      </c>
      <c r="J45" s="33">
        <v>8</v>
      </c>
      <c r="K45" s="33">
        <f t="shared" si="7"/>
        <v>5879.28</v>
      </c>
      <c r="L45" s="33">
        <f t="shared" si="8"/>
        <v>24083.33</v>
      </c>
      <c r="M45" s="110">
        <f t="shared" si="3"/>
        <v>81766.8</v>
      </c>
    </row>
    <row r="46" spans="1:13" s="28" customFormat="1" x14ac:dyDescent="0.3">
      <c r="A46" s="24">
        <v>16</v>
      </c>
      <c r="B46" s="31" t="str">
        <f>'Стоимость ПУ 2022'!B36</f>
        <v>МКД ул. Партизанская д. 1Б корп. 6</v>
      </c>
      <c r="C46" s="109">
        <f>'Стоимость ПУ 2022'!J36</f>
        <v>41</v>
      </c>
      <c r="D46" s="32">
        <f>'Стоимость ПУ 2022'!K36</f>
        <v>1</v>
      </c>
      <c r="E46" s="33">
        <v>29.84</v>
      </c>
      <c r="F46" s="33">
        <f t="shared" si="4"/>
        <v>23294.3</v>
      </c>
      <c r="G46" s="33">
        <f t="shared" si="5"/>
        <v>694.68</v>
      </c>
      <c r="H46" s="33">
        <f t="shared" si="6"/>
        <v>6678.19</v>
      </c>
      <c r="I46" s="33">
        <f t="shared" si="2"/>
        <v>9292.15</v>
      </c>
      <c r="J46" s="33">
        <v>8</v>
      </c>
      <c r="K46" s="33">
        <f t="shared" si="7"/>
        <v>5879.28</v>
      </c>
      <c r="L46" s="33">
        <f t="shared" si="8"/>
        <v>24083.33</v>
      </c>
      <c r="M46" s="110">
        <f t="shared" si="3"/>
        <v>69921.929999999993</v>
      </c>
    </row>
    <row r="47" spans="1:13" s="28" customFormat="1" x14ac:dyDescent="0.3">
      <c r="A47" s="24">
        <v>17</v>
      </c>
      <c r="B47" s="31" t="str">
        <f>'Стоимость ПУ 2022'!B37</f>
        <v>МКД ул. Егоршина д. 2</v>
      </c>
      <c r="C47" s="109">
        <f>'Стоимость ПУ 2022'!J37</f>
        <v>44</v>
      </c>
      <c r="D47" s="32">
        <f>'Стоимость ПУ 2022'!K37</f>
        <v>1</v>
      </c>
      <c r="E47" s="33">
        <v>29.84</v>
      </c>
      <c r="F47" s="33">
        <f t="shared" si="4"/>
        <v>24998.76</v>
      </c>
      <c r="G47" s="33">
        <f t="shared" si="5"/>
        <v>694.68</v>
      </c>
      <c r="H47" s="33">
        <f t="shared" si="6"/>
        <v>6678.19</v>
      </c>
      <c r="I47" s="33">
        <f t="shared" si="2"/>
        <v>9808.6</v>
      </c>
      <c r="J47" s="33">
        <v>8</v>
      </c>
      <c r="K47" s="33">
        <f t="shared" si="7"/>
        <v>5879.28</v>
      </c>
      <c r="L47" s="33">
        <f t="shared" si="8"/>
        <v>24083.33</v>
      </c>
      <c r="M47" s="110">
        <f t="shared" si="3"/>
        <v>72142.84</v>
      </c>
    </row>
    <row r="48" spans="1:13" s="28" customFormat="1" x14ac:dyDescent="0.3">
      <c r="A48" s="24">
        <v>18</v>
      </c>
      <c r="B48" s="31" t="str">
        <f>'Стоимость ПУ 2022'!B38</f>
        <v>МКД ул. Людкевича д. 9</v>
      </c>
      <c r="C48" s="109">
        <f>'Стоимость ПУ 2022'!J38</f>
        <v>24</v>
      </c>
      <c r="D48" s="32">
        <f>'Стоимость ПУ 2022'!K38</f>
        <v>1</v>
      </c>
      <c r="E48" s="33">
        <v>29.84</v>
      </c>
      <c r="F48" s="33">
        <f t="shared" si="4"/>
        <v>13635.69</v>
      </c>
      <c r="G48" s="33">
        <f t="shared" si="5"/>
        <v>694.68</v>
      </c>
      <c r="H48" s="33">
        <f t="shared" si="6"/>
        <v>6678.19</v>
      </c>
      <c r="I48" s="33">
        <f t="shared" si="2"/>
        <v>6365.59</v>
      </c>
      <c r="J48" s="33">
        <v>8</v>
      </c>
      <c r="K48" s="33">
        <f t="shared" si="7"/>
        <v>5879.28</v>
      </c>
      <c r="L48" s="33">
        <f t="shared" si="8"/>
        <v>24083.33</v>
      </c>
      <c r="M48" s="110">
        <f t="shared" si="3"/>
        <v>57336.760000000009</v>
      </c>
    </row>
    <row r="49" spans="1:13" s="28" customFormat="1" x14ac:dyDescent="0.3">
      <c r="A49" s="24">
        <v>19</v>
      </c>
      <c r="B49" s="31" t="str">
        <f>'Стоимость ПУ 2022'!B39</f>
        <v>МКД ул. Бештаугорская д. 3</v>
      </c>
      <c r="C49" s="109">
        <f>'Стоимость ПУ 2022'!J39</f>
        <v>78</v>
      </c>
      <c r="D49" s="32">
        <f>'Стоимость ПУ 2022'!K39</f>
        <v>5</v>
      </c>
      <c r="E49" s="33">
        <v>29.84</v>
      </c>
      <c r="F49" s="33">
        <f t="shared" si="4"/>
        <v>44315.98</v>
      </c>
      <c r="G49" s="33">
        <f t="shared" si="5"/>
        <v>3473.38</v>
      </c>
      <c r="H49" s="33">
        <f t="shared" si="6"/>
        <v>6678.19</v>
      </c>
      <c r="I49" s="33">
        <f t="shared" si="2"/>
        <v>16503.669999999998</v>
      </c>
      <c r="J49" s="33">
        <v>8</v>
      </c>
      <c r="K49" s="33">
        <f t="shared" si="7"/>
        <v>5879.28</v>
      </c>
      <c r="L49" s="33">
        <f t="shared" si="8"/>
        <v>24083.33</v>
      </c>
      <c r="M49" s="110">
        <f t="shared" si="3"/>
        <v>100933.83</v>
      </c>
    </row>
    <row r="50" spans="1:13" ht="19.5" thickBot="1" x14ac:dyDescent="0.35">
      <c r="A50" s="34" t="s">
        <v>14</v>
      </c>
      <c r="B50" s="35" t="s">
        <v>15</v>
      </c>
      <c r="C50" s="36">
        <f>SUM(C31:C49)</f>
        <v>738</v>
      </c>
      <c r="D50" s="36">
        <f>SUM(D31:D49)</f>
        <v>26</v>
      </c>
      <c r="E50" s="36" t="s">
        <v>126</v>
      </c>
      <c r="F50" s="149">
        <f>SUM(F31:F49)</f>
        <v>419297.36</v>
      </c>
      <c r="G50" s="149">
        <f>SUM(G31:G49)</f>
        <v>18061.630000000005</v>
      </c>
      <c r="H50" s="149">
        <f t="shared" ref="H50:I50" si="9">SUM(H31:H49)</f>
        <v>126885.61000000003</v>
      </c>
      <c r="I50" s="149">
        <f t="shared" si="9"/>
        <v>170966.11</v>
      </c>
      <c r="J50" s="149" t="s">
        <v>126</v>
      </c>
      <c r="K50" s="149">
        <f t="shared" ref="K50:L50" si="10">SUM(K31:K49)</f>
        <v>108714.65999999999</v>
      </c>
      <c r="L50" s="149">
        <f t="shared" si="10"/>
        <v>427541.61000000022</v>
      </c>
      <c r="M50" s="150">
        <f>SUM(M31:M49)</f>
        <v>1271466.9800000002</v>
      </c>
    </row>
    <row r="51" spans="1:13" ht="26.25" customHeight="1" x14ac:dyDescent="0.3">
      <c r="A51" s="233" t="s">
        <v>142</v>
      </c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  <c r="M51" s="233"/>
    </row>
    <row r="52" spans="1:13" ht="44.25" customHeight="1" x14ac:dyDescent="0.3">
      <c r="A52" s="230" t="s">
        <v>73</v>
      </c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</row>
    <row r="57" spans="1:13" ht="23.25" customHeight="1" x14ac:dyDescent="0.3">
      <c r="A57" s="151" t="s">
        <v>218</v>
      </c>
      <c r="I57" s="38"/>
      <c r="J57" s="38"/>
      <c r="M57" s="22" t="s">
        <v>219</v>
      </c>
    </row>
    <row r="58" spans="1:13" x14ac:dyDescent="0.3">
      <c r="A58" s="28"/>
      <c r="B58" s="28"/>
      <c r="C58" s="28"/>
      <c r="D58" s="28"/>
      <c r="E58" s="76"/>
      <c r="F58" s="28"/>
      <c r="G58" s="28"/>
      <c r="H58" s="28"/>
      <c r="I58" s="73"/>
      <c r="J58" s="73"/>
      <c r="M58" s="140"/>
    </row>
    <row r="59" spans="1:13" ht="47.25" customHeight="1" x14ac:dyDescent="0.3">
      <c r="C59" s="134"/>
      <c r="D59" s="134"/>
      <c r="E59" s="134"/>
      <c r="F59" s="134"/>
      <c r="G59" s="134"/>
      <c r="I59" s="38"/>
      <c r="J59" s="38"/>
      <c r="M59" s="22"/>
    </row>
    <row r="60" spans="1:13" x14ac:dyDescent="0.3">
      <c r="A60" s="177" t="s">
        <v>220</v>
      </c>
      <c r="B60" s="177"/>
      <c r="C60" s="134"/>
      <c r="D60" s="134"/>
      <c r="E60" s="134"/>
      <c r="F60" s="134"/>
      <c r="G60" s="134"/>
      <c r="I60" s="38"/>
      <c r="J60" s="38"/>
      <c r="M60" s="22" t="s">
        <v>16</v>
      </c>
    </row>
    <row r="61" spans="1:13" x14ac:dyDescent="0.3">
      <c r="A61" s="21"/>
      <c r="I61" s="38"/>
      <c r="J61" s="38"/>
      <c r="M61" s="22"/>
    </row>
    <row r="62" spans="1:13" x14ac:dyDescent="0.3">
      <c r="A62" s="21"/>
      <c r="I62" s="38"/>
      <c r="J62" s="38"/>
      <c r="M62" s="22"/>
    </row>
    <row r="63" spans="1:13" x14ac:dyDescent="0.3">
      <c r="A63" s="151" t="s">
        <v>131</v>
      </c>
      <c r="I63" s="38"/>
      <c r="J63" s="38"/>
      <c r="M63" s="22" t="s">
        <v>17</v>
      </c>
    </row>
    <row r="64" spans="1:13" ht="33.75" customHeight="1" x14ac:dyDescent="0.3"/>
    <row r="65" spans="1:13" x14ac:dyDescent="0.3">
      <c r="A65" s="151" t="s">
        <v>221</v>
      </c>
      <c r="I65" s="38"/>
      <c r="J65" s="38"/>
      <c r="M65" s="22" t="s">
        <v>222</v>
      </c>
    </row>
  </sheetData>
  <mergeCells count="27">
    <mergeCell ref="H23:M23"/>
    <mergeCell ref="A1:M1"/>
    <mergeCell ref="A2:M2"/>
    <mergeCell ref="H4:M4"/>
    <mergeCell ref="H5:M5"/>
    <mergeCell ref="F16:G18"/>
    <mergeCell ref="F15:G15"/>
    <mergeCell ref="A3:M3"/>
    <mergeCell ref="F4:G4"/>
    <mergeCell ref="F5:G5"/>
    <mergeCell ref="A6:M6"/>
    <mergeCell ref="A60:B60"/>
    <mergeCell ref="H21:M21"/>
    <mergeCell ref="H22:M22"/>
    <mergeCell ref="H7:M19"/>
    <mergeCell ref="F21:G21"/>
    <mergeCell ref="F22:G22"/>
    <mergeCell ref="F23:G23"/>
    <mergeCell ref="A26:M26"/>
    <mergeCell ref="A52:M52"/>
    <mergeCell ref="A24:M24"/>
    <mergeCell ref="A51:M51"/>
    <mergeCell ref="B28:B29"/>
    <mergeCell ref="A28:A29"/>
    <mergeCell ref="A20:M20"/>
    <mergeCell ref="F7:G14"/>
    <mergeCell ref="F19:G19"/>
  </mergeCells>
  <phoneticPr fontId="3" type="noConversion"/>
  <conditionalFormatting sqref="I58:J58 M58">
    <cfRule type="cellIs" dxfId="35" priority="14" operator="notEqual">
      <formula>0</formula>
    </cfRule>
  </conditionalFormatting>
  <conditionalFormatting sqref="I57:J58 M58">
    <cfRule type="cellIs" dxfId="34" priority="5" operator="notEqual">
      <formula>0</formula>
    </cfRule>
    <cfRule type="cellIs" dxfId="33" priority="6" operator="notEqual">
      <formula>0</formula>
    </cfRule>
  </conditionalFormatting>
  <conditionalFormatting sqref="I57:J57">
    <cfRule type="cellIs" dxfId="32" priority="4" operator="notEqual">
      <formula>0</formula>
    </cfRule>
  </conditionalFormatting>
  <conditionalFormatting sqref="I59:J63">
    <cfRule type="cellIs" dxfId="31" priority="8" operator="notEqual">
      <formula>0</formula>
    </cfRule>
    <cfRule type="cellIs" dxfId="30" priority="9" operator="notEqual">
      <formula>0</formula>
    </cfRule>
  </conditionalFormatting>
  <conditionalFormatting sqref="I59:J63">
    <cfRule type="cellIs" dxfId="29" priority="7" operator="notEqual">
      <formula>0</formula>
    </cfRule>
  </conditionalFormatting>
  <conditionalFormatting sqref="I65:J65">
    <cfRule type="cellIs" dxfId="28" priority="2" operator="notEqual">
      <formula>0</formula>
    </cfRule>
    <cfRule type="cellIs" dxfId="27" priority="3" operator="notEqual">
      <formula>0</formula>
    </cfRule>
  </conditionalFormatting>
  <conditionalFormatting sqref="I65:J65">
    <cfRule type="cellIs" dxfId="26" priority="1" operator="notEqual">
      <formula>0</formula>
    </cfRule>
  </conditionalFormatting>
  <printOptions horizontalCentered="1"/>
  <pageMargins left="0" right="0" top="1.1811023622047245" bottom="0.39370078740157483" header="0.31496062992125984" footer="0.31496062992125984"/>
  <pageSetup paperSize="9" scale="43" fitToHeight="2" orientation="landscape" r:id="rId1"/>
  <rowBreaks count="1" manualBreakCount="1">
    <brk id="2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C2FBD-43EE-4C10-8815-01A411203704}">
  <sheetPr>
    <pageSetUpPr fitToPage="1"/>
  </sheetPr>
  <dimension ref="A1:N76"/>
  <sheetViews>
    <sheetView view="pageBreakPreview" topLeftCell="A10" zoomScale="60" zoomScaleNormal="70" workbookViewId="0">
      <selection activeCell="B45" sqref="B45"/>
    </sheetView>
  </sheetViews>
  <sheetFormatPr defaultRowHeight="18.75" x14ac:dyDescent="0.3"/>
  <cols>
    <col min="1" max="1" width="14" style="15" bestFit="1" customWidth="1"/>
    <col min="2" max="2" width="68.7109375" style="15" customWidth="1"/>
    <col min="3" max="3" width="18.85546875" style="15" customWidth="1"/>
    <col min="4" max="4" width="21.28515625" style="15" customWidth="1"/>
    <col min="5" max="5" width="23.5703125" style="15" customWidth="1"/>
    <col min="6" max="6" width="22.28515625" style="15" customWidth="1"/>
    <col min="7" max="7" width="25.7109375" style="15" customWidth="1"/>
    <col min="8" max="8" width="23.5703125" style="15" customWidth="1"/>
    <col min="9" max="9" width="19.5703125" style="15" customWidth="1"/>
    <col min="10" max="10" width="20.28515625" style="15" customWidth="1"/>
    <col min="11" max="11" width="24.140625" style="15" customWidth="1"/>
    <col min="12" max="12" width="9.140625" style="15"/>
    <col min="13" max="13" width="14.42578125" style="15" customWidth="1"/>
    <col min="14" max="16384" width="9.140625" style="15"/>
  </cols>
  <sheetData>
    <row r="1" spans="1:11" ht="59.25" customHeight="1" x14ac:dyDescent="0.3">
      <c r="A1" s="173" t="s">
        <v>149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30.75" customHeight="1" x14ac:dyDescent="0.3">
      <c r="A2" s="173" t="s">
        <v>20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21.75" customHeight="1" thickBot="1" x14ac:dyDescent="0.35">
      <c r="A3" s="263" t="s">
        <v>84</v>
      </c>
      <c r="B3" s="263"/>
      <c r="C3" s="263"/>
      <c r="D3" s="263"/>
      <c r="E3" s="263"/>
      <c r="F3" s="263"/>
      <c r="G3" s="263"/>
      <c r="H3" s="263"/>
      <c r="I3" s="84"/>
      <c r="J3" s="84"/>
      <c r="K3" s="84"/>
    </row>
    <row r="4" spans="1:11" ht="60.75" customHeight="1" thickBot="1" x14ac:dyDescent="0.35">
      <c r="A4" s="42" t="s">
        <v>0</v>
      </c>
      <c r="B4" s="43" t="s">
        <v>1</v>
      </c>
      <c r="C4" s="43" t="s">
        <v>83</v>
      </c>
      <c r="D4" s="43" t="s">
        <v>85</v>
      </c>
      <c r="E4" s="43" t="s">
        <v>223</v>
      </c>
      <c r="F4" s="265" t="s">
        <v>2</v>
      </c>
      <c r="G4" s="265"/>
      <c r="H4" s="266"/>
      <c r="I4" s="37"/>
      <c r="J4" s="37"/>
      <c r="K4" s="37"/>
    </row>
    <row r="5" spans="1:11" s="1" customFormat="1" ht="12" customHeight="1" x14ac:dyDescent="0.25">
      <c r="A5" s="93">
        <v>1</v>
      </c>
      <c r="B5" s="12">
        <v>2</v>
      </c>
      <c r="C5" s="12">
        <v>3</v>
      </c>
      <c r="D5" s="12">
        <v>4</v>
      </c>
      <c r="E5" s="12">
        <v>5</v>
      </c>
      <c r="F5" s="257">
        <v>6</v>
      </c>
      <c r="G5" s="258"/>
      <c r="H5" s="259"/>
      <c r="I5" s="5"/>
      <c r="J5" s="5"/>
      <c r="K5" s="5"/>
    </row>
    <row r="6" spans="1:11" ht="75" x14ac:dyDescent="0.3">
      <c r="A6" s="39">
        <v>1</v>
      </c>
      <c r="B6" s="23" t="s">
        <v>22</v>
      </c>
      <c r="C6" s="47">
        <f>'Стоимость ПУ 2022'!E7</f>
        <v>13112.63</v>
      </c>
      <c r="D6" s="47">
        <f>C6*1.04</f>
        <v>13637.135199999999</v>
      </c>
      <c r="E6" s="47">
        <f>D6*1.04</f>
        <v>14182.620607999999</v>
      </c>
      <c r="F6" s="212" t="s">
        <v>233</v>
      </c>
      <c r="G6" s="212"/>
      <c r="H6" s="269"/>
      <c r="I6" s="37"/>
      <c r="J6" s="37"/>
      <c r="K6" s="37"/>
    </row>
    <row r="7" spans="1:11" ht="66.75" customHeight="1" thickBot="1" x14ac:dyDescent="0.35">
      <c r="A7" s="85">
        <v>2</v>
      </c>
      <c r="B7" s="86" t="s">
        <v>76</v>
      </c>
      <c r="C7" s="87">
        <f>'Стоимость ПУ 2022'!E8</f>
        <v>31985</v>
      </c>
      <c r="D7" s="87">
        <f>C7*1.04</f>
        <v>33264.400000000001</v>
      </c>
      <c r="E7" s="87">
        <f>D7*1.04</f>
        <v>34594.976000000002</v>
      </c>
      <c r="F7" s="267" t="s">
        <v>234</v>
      </c>
      <c r="G7" s="267"/>
      <c r="H7" s="268"/>
      <c r="I7" s="37"/>
      <c r="J7" s="37"/>
      <c r="K7" s="37"/>
    </row>
    <row r="8" spans="1:11" ht="75.75" thickBot="1" x14ac:dyDescent="0.35">
      <c r="A8" s="42">
        <v>3</v>
      </c>
      <c r="B8" s="43" t="s">
        <v>147</v>
      </c>
      <c r="C8" s="44">
        <f>'Стоимость ПУ 2022'!E9</f>
        <v>51017.43</v>
      </c>
      <c r="D8" s="44">
        <f>D9+D10+D11</f>
        <v>53058.127200000003</v>
      </c>
      <c r="E8" s="44">
        <f>E9+E10+E11</f>
        <v>55180.452288</v>
      </c>
      <c r="F8" s="265" t="s">
        <v>121</v>
      </c>
      <c r="G8" s="265"/>
      <c r="H8" s="266"/>
      <c r="I8" s="37"/>
      <c r="J8" s="37"/>
      <c r="K8" s="37"/>
    </row>
    <row r="9" spans="1:11" ht="37.5" x14ac:dyDescent="0.3">
      <c r="A9" s="18" t="s">
        <v>61</v>
      </c>
      <c r="B9" s="19" t="s">
        <v>6</v>
      </c>
      <c r="C9" s="89">
        <f>'Стоимость ПУ 2022'!E10</f>
        <v>37340.28</v>
      </c>
      <c r="D9" s="89">
        <f t="shared" ref="D9:D11" si="0">C9*1.04</f>
        <v>38833.891199999998</v>
      </c>
      <c r="E9" s="89">
        <f>D9*1.04</f>
        <v>40387.246848000003</v>
      </c>
      <c r="F9" s="270" t="s">
        <v>121</v>
      </c>
      <c r="G9" s="270"/>
      <c r="H9" s="271"/>
      <c r="I9" s="37"/>
      <c r="J9" s="37"/>
      <c r="K9" s="37"/>
    </row>
    <row r="10" spans="1:11" ht="34.5" customHeight="1" x14ac:dyDescent="0.3">
      <c r="A10" s="39" t="s">
        <v>62</v>
      </c>
      <c r="B10" s="23" t="s">
        <v>7</v>
      </c>
      <c r="C10" s="47">
        <f>'Стоимость ПУ 2022'!E11</f>
        <v>5343.82</v>
      </c>
      <c r="D10" s="47">
        <f t="shared" si="0"/>
        <v>5557.5727999999999</v>
      </c>
      <c r="E10" s="47">
        <f>D10*1.04</f>
        <v>5779.875712</v>
      </c>
      <c r="F10" s="212" t="s">
        <v>121</v>
      </c>
      <c r="G10" s="212"/>
      <c r="H10" s="269"/>
      <c r="I10" s="37"/>
      <c r="J10" s="37"/>
      <c r="K10" s="37"/>
    </row>
    <row r="11" spans="1:11" ht="34.5" customHeight="1" thickBot="1" x14ac:dyDescent="0.35">
      <c r="A11" s="85" t="s">
        <v>63</v>
      </c>
      <c r="B11" s="86" t="s">
        <v>77</v>
      </c>
      <c r="C11" s="87">
        <f>'Стоимость ПУ 2022'!E12</f>
        <v>8333.33</v>
      </c>
      <c r="D11" s="87">
        <f t="shared" si="0"/>
        <v>8666.6632000000009</v>
      </c>
      <c r="E11" s="87">
        <f>D11*1.04</f>
        <v>9013.3297280000006</v>
      </c>
      <c r="F11" s="267" t="s">
        <v>121</v>
      </c>
      <c r="G11" s="267"/>
      <c r="H11" s="268"/>
      <c r="I11" s="37"/>
      <c r="J11" s="37"/>
      <c r="K11" s="37"/>
    </row>
    <row r="12" spans="1:11" ht="34.5" customHeight="1" thickBot="1" x14ac:dyDescent="0.35">
      <c r="A12" s="42">
        <v>4</v>
      </c>
      <c r="B12" s="43" t="s">
        <v>27</v>
      </c>
      <c r="C12" s="44">
        <v>3.3</v>
      </c>
      <c r="D12" s="44">
        <v>3.3</v>
      </c>
      <c r="E12" s="44">
        <v>3.3</v>
      </c>
      <c r="F12" s="265" t="s">
        <v>25</v>
      </c>
      <c r="G12" s="265"/>
      <c r="H12" s="266"/>
      <c r="I12" s="37"/>
      <c r="J12" s="37"/>
      <c r="K12" s="37"/>
    </row>
    <row r="13" spans="1:11" ht="56.25" customHeight="1" x14ac:dyDescent="0.3">
      <c r="A13" s="264" t="s">
        <v>153</v>
      </c>
      <c r="B13" s="264"/>
      <c r="C13" s="264"/>
      <c r="D13" s="264"/>
      <c r="E13" s="264"/>
      <c r="F13" s="264"/>
      <c r="G13" s="264"/>
      <c r="H13" s="264"/>
      <c r="I13" s="90"/>
      <c r="J13" s="90"/>
      <c r="K13" s="90"/>
    </row>
    <row r="16" spans="1:11" ht="66" customHeight="1" x14ac:dyDescent="0.3">
      <c r="A16" s="197" t="s">
        <v>148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</row>
    <row r="17" spans="1:11" ht="36.75" customHeight="1" thickBot="1" x14ac:dyDescent="0.35">
      <c r="A17" s="21"/>
      <c r="K17" s="22" t="s">
        <v>157</v>
      </c>
    </row>
    <row r="18" spans="1:11" ht="131.25" x14ac:dyDescent="0.3">
      <c r="A18" s="54" t="s">
        <v>0</v>
      </c>
      <c r="B18" s="55" t="s">
        <v>9</v>
      </c>
      <c r="C18" s="56" t="s">
        <v>55</v>
      </c>
      <c r="D18" s="57" t="s">
        <v>56</v>
      </c>
      <c r="E18" s="57" t="s">
        <v>100</v>
      </c>
      <c r="F18" s="57" t="s">
        <v>97</v>
      </c>
      <c r="G18" s="57" t="s">
        <v>140</v>
      </c>
      <c r="H18" s="57" t="s">
        <v>98</v>
      </c>
      <c r="I18" s="56" t="s">
        <v>28</v>
      </c>
      <c r="J18" s="56" t="s">
        <v>10</v>
      </c>
      <c r="K18" s="58" t="s">
        <v>11</v>
      </c>
    </row>
    <row r="19" spans="1:11" x14ac:dyDescent="0.3">
      <c r="A19" s="78"/>
      <c r="B19" s="79"/>
      <c r="C19" s="12" t="s">
        <v>12</v>
      </c>
      <c r="D19" s="14" t="s">
        <v>12</v>
      </c>
      <c r="E19" s="12" t="s">
        <v>13</v>
      </c>
      <c r="F19" s="14" t="s">
        <v>13</v>
      </c>
      <c r="G19" s="12" t="s">
        <v>13</v>
      </c>
      <c r="H19" s="12" t="s">
        <v>13</v>
      </c>
      <c r="I19" s="12" t="s">
        <v>13</v>
      </c>
      <c r="J19" s="12" t="s">
        <v>12</v>
      </c>
      <c r="K19" s="13" t="s">
        <v>12</v>
      </c>
    </row>
    <row r="20" spans="1:11" ht="19.5" thickBot="1" x14ac:dyDescent="0.35">
      <c r="A20" s="80">
        <v>1</v>
      </c>
      <c r="B20" s="81">
        <v>2</v>
      </c>
      <c r="C20" s="82">
        <v>3</v>
      </c>
      <c r="D20" s="82">
        <v>4</v>
      </c>
      <c r="E20" s="81">
        <v>5</v>
      </c>
      <c r="F20" s="82">
        <v>6</v>
      </c>
      <c r="G20" s="82">
        <v>7</v>
      </c>
      <c r="H20" s="81">
        <v>8</v>
      </c>
      <c r="I20" s="82">
        <v>9</v>
      </c>
      <c r="J20" s="81">
        <v>10</v>
      </c>
      <c r="K20" s="83">
        <v>11</v>
      </c>
    </row>
    <row r="21" spans="1:11" x14ac:dyDescent="0.3">
      <c r="A21" s="260" t="s">
        <v>118</v>
      </c>
      <c r="B21" s="261"/>
      <c r="C21" s="261"/>
      <c r="D21" s="261"/>
      <c r="E21" s="261"/>
      <c r="F21" s="261"/>
      <c r="G21" s="261"/>
      <c r="H21" s="261"/>
      <c r="I21" s="261"/>
      <c r="J21" s="261"/>
      <c r="K21" s="262"/>
    </row>
    <row r="22" spans="1:11" s="29" customFormat="1" x14ac:dyDescent="0.3">
      <c r="A22" s="91">
        <v>1</v>
      </c>
      <c r="B22" s="25" t="s">
        <v>179</v>
      </c>
      <c r="C22" s="26">
        <f>62+16</f>
        <v>78</v>
      </c>
      <c r="D22" s="26">
        <v>1</v>
      </c>
      <c r="E22" s="27">
        <f t="shared" ref="E22:E39" si="1">ROUND(C22*$D$6,2)</f>
        <v>1063696.55</v>
      </c>
      <c r="F22" s="27">
        <f t="shared" ref="F22:F39" si="2">ROUND(D22*$D$7,2)</f>
        <v>33264.400000000001</v>
      </c>
      <c r="G22" s="27">
        <f t="shared" ref="G22:G39" si="3">IF(D22&gt;0,ROUND(D22*$D$8,2),0)</f>
        <v>53058.13</v>
      </c>
      <c r="H22" s="27">
        <f t="shared" ref="H22:H39" si="4">ROUND((D22+C22)*$D$12,2)</f>
        <v>260.7</v>
      </c>
      <c r="I22" s="60">
        <f t="shared" ref="I22:I39" si="5">E22+F22+G22+H22</f>
        <v>1150279.7799999998</v>
      </c>
      <c r="J22" s="61">
        <f t="shared" ref="J22:J39" si="6">C22</f>
        <v>78</v>
      </c>
      <c r="K22" s="62">
        <f t="shared" ref="K22:K39" si="7">D22</f>
        <v>1</v>
      </c>
    </row>
    <row r="23" spans="1:11" s="29" customFormat="1" x14ac:dyDescent="0.3">
      <c r="A23" s="91">
        <v>2</v>
      </c>
      <c r="B23" s="25" t="s">
        <v>180</v>
      </c>
      <c r="C23" s="26">
        <v>34</v>
      </c>
      <c r="D23" s="26">
        <v>1</v>
      </c>
      <c r="E23" s="27">
        <f t="shared" si="1"/>
        <v>463662.6</v>
      </c>
      <c r="F23" s="27">
        <f t="shared" si="2"/>
        <v>33264.400000000001</v>
      </c>
      <c r="G23" s="27">
        <f t="shared" si="3"/>
        <v>53058.13</v>
      </c>
      <c r="H23" s="27">
        <f t="shared" si="4"/>
        <v>115.5</v>
      </c>
      <c r="I23" s="60">
        <f t="shared" si="5"/>
        <v>550100.63</v>
      </c>
      <c r="J23" s="61">
        <f t="shared" si="6"/>
        <v>34</v>
      </c>
      <c r="K23" s="62">
        <f t="shared" si="7"/>
        <v>1</v>
      </c>
    </row>
    <row r="24" spans="1:11" s="29" customFormat="1" x14ac:dyDescent="0.3">
      <c r="A24" s="91">
        <v>3</v>
      </c>
      <c r="B24" s="25" t="s">
        <v>181</v>
      </c>
      <c r="C24" s="26">
        <v>20</v>
      </c>
      <c r="D24" s="26">
        <v>1</v>
      </c>
      <c r="E24" s="27">
        <f t="shared" si="1"/>
        <v>272742.7</v>
      </c>
      <c r="F24" s="27">
        <f t="shared" si="2"/>
        <v>33264.400000000001</v>
      </c>
      <c r="G24" s="27">
        <f t="shared" si="3"/>
        <v>53058.13</v>
      </c>
      <c r="H24" s="27">
        <f t="shared" si="4"/>
        <v>69.3</v>
      </c>
      <c r="I24" s="60">
        <f t="shared" si="5"/>
        <v>359134.53</v>
      </c>
      <c r="J24" s="61">
        <f t="shared" si="6"/>
        <v>20</v>
      </c>
      <c r="K24" s="62">
        <f t="shared" si="7"/>
        <v>1</v>
      </c>
    </row>
    <row r="25" spans="1:11" s="29" customFormat="1" x14ac:dyDescent="0.3">
      <c r="A25" s="91">
        <v>4</v>
      </c>
      <c r="B25" s="25" t="s">
        <v>182</v>
      </c>
      <c r="C25" s="26">
        <v>27</v>
      </c>
      <c r="D25" s="26">
        <v>1</v>
      </c>
      <c r="E25" s="27">
        <f t="shared" si="1"/>
        <v>368202.65</v>
      </c>
      <c r="F25" s="27">
        <f t="shared" si="2"/>
        <v>33264.400000000001</v>
      </c>
      <c r="G25" s="27">
        <f t="shared" si="3"/>
        <v>53058.13</v>
      </c>
      <c r="H25" s="27">
        <f t="shared" si="4"/>
        <v>92.4</v>
      </c>
      <c r="I25" s="60">
        <f t="shared" si="5"/>
        <v>454617.58000000007</v>
      </c>
      <c r="J25" s="61">
        <f t="shared" si="6"/>
        <v>27</v>
      </c>
      <c r="K25" s="62">
        <f t="shared" si="7"/>
        <v>1</v>
      </c>
    </row>
    <row r="26" spans="1:11" s="29" customFormat="1" x14ac:dyDescent="0.3">
      <c r="A26" s="91">
        <v>5</v>
      </c>
      <c r="B26" s="25" t="s">
        <v>183</v>
      </c>
      <c r="C26" s="26">
        <v>22</v>
      </c>
      <c r="D26" s="26">
        <v>1</v>
      </c>
      <c r="E26" s="27">
        <f t="shared" si="1"/>
        <v>300016.96999999997</v>
      </c>
      <c r="F26" s="27">
        <f t="shared" si="2"/>
        <v>33264.400000000001</v>
      </c>
      <c r="G26" s="27">
        <f t="shared" si="3"/>
        <v>53058.13</v>
      </c>
      <c r="H26" s="27">
        <f t="shared" si="4"/>
        <v>75.900000000000006</v>
      </c>
      <c r="I26" s="60">
        <f t="shared" si="5"/>
        <v>386415.4</v>
      </c>
      <c r="J26" s="61">
        <f t="shared" si="6"/>
        <v>22</v>
      </c>
      <c r="K26" s="62">
        <f t="shared" si="7"/>
        <v>1</v>
      </c>
    </row>
    <row r="27" spans="1:11" s="29" customFormat="1" x14ac:dyDescent="0.3">
      <c r="A27" s="91">
        <v>6</v>
      </c>
      <c r="B27" s="25" t="s">
        <v>184</v>
      </c>
      <c r="C27" s="26">
        <v>18</v>
      </c>
      <c r="D27" s="26">
        <v>1</v>
      </c>
      <c r="E27" s="27">
        <f t="shared" si="1"/>
        <v>245468.43</v>
      </c>
      <c r="F27" s="27">
        <f t="shared" si="2"/>
        <v>33264.400000000001</v>
      </c>
      <c r="G27" s="27">
        <f t="shared" si="3"/>
        <v>53058.13</v>
      </c>
      <c r="H27" s="27">
        <f t="shared" si="4"/>
        <v>62.7</v>
      </c>
      <c r="I27" s="60">
        <f t="shared" si="5"/>
        <v>331853.66000000003</v>
      </c>
      <c r="J27" s="61">
        <f t="shared" si="6"/>
        <v>18</v>
      </c>
      <c r="K27" s="62">
        <f t="shared" si="7"/>
        <v>1</v>
      </c>
    </row>
    <row r="28" spans="1:11" s="29" customFormat="1" x14ac:dyDescent="0.3">
      <c r="A28" s="91">
        <v>7</v>
      </c>
      <c r="B28" s="25" t="s">
        <v>185</v>
      </c>
      <c r="C28" s="26">
        <v>38</v>
      </c>
      <c r="D28" s="26">
        <v>1</v>
      </c>
      <c r="E28" s="27">
        <f t="shared" si="1"/>
        <v>518211.14</v>
      </c>
      <c r="F28" s="27">
        <f t="shared" si="2"/>
        <v>33264.400000000001</v>
      </c>
      <c r="G28" s="27">
        <f t="shared" si="3"/>
        <v>53058.13</v>
      </c>
      <c r="H28" s="27">
        <f t="shared" si="4"/>
        <v>128.69999999999999</v>
      </c>
      <c r="I28" s="60">
        <f t="shared" si="5"/>
        <v>604662.37</v>
      </c>
      <c r="J28" s="61">
        <f t="shared" si="6"/>
        <v>38</v>
      </c>
      <c r="K28" s="62">
        <f t="shared" si="7"/>
        <v>1</v>
      </c>
    </row>
    <row r="29" spans="1:11" s="29" customFormat="1" x14ac:dyDescent="0.3">
      <c r="A29" s="91">
        <v>8</v>
      </c>
      <c r="B29" s="25" t="s">
        <v>167</v>
      </c>
      <c r="C29" s="26">
        <f>31+13+7-'Стоимость ПУ 2022'!C28</f>
        <v>46</v>
      </c>
      <c r="D29" s="26">
        <v>0</v>
      </c>
      <c r="E29" s="27">
        <f t="shared" si="1"/>
        <v>627308.22</v>
      </c>
      <c r="F29" s="27">
        <f t="shared" si="2"/>
        <v>0</v>
      </c>
      <c r="G29" s="27">
        <f t="shared" si="3"/>
        <v>0</v>
      </c>
      <c r="H29" s="27">
        <f t="shared" si="4"/>
        <v>151.80000000000001</v>
      </c>
      <c r="I29" s="60">
        <f t="shared" si="5"/>
        <v>627460.02</v>
      </c>
      <c r="J29" s="61">
        <f t="shared" si="6"/>
        <v>46</v>
      </c>
      <c r="K29" s="62">
        <f t="shared" si="7"/>
        <v>0</v>
      </c>
    </row>
    <row r="30" spans="1:11" s="29" customFormat="1" x14ac:dyDescent="0.3">
      <c r="A30" s="91">
        <v>9</v>
      </c>
      <c r="B30" s="25" t="s">
        <v>186</v>
      </c>
      <c r="C30" s="26">
        <v>28</v>
      </c>
      <c r="D30" s="26">
        <v>1</v>
      </c>
      <c r="E30" s="27">
        <f t="shared" si="1"/>
        <v>381839.79</v>
      </c>
      <c r="F30" s="27">
        <f t="shared" si="2"/>
        <v>33264.400000000001</v>
      </c>
      <c r="G30" s="27">
        <f t="shared" si="3"/>
        <v>53058.13</v>
      </c>
      <c r="H30" s="27">
        <f t="shared" si="4"/>
        <v>95.7</v>
      </c>
      <c r="I30" s="60">
        <f t="shared" si="5"/>
        <v>468258.02</v>
      </c>
      <c r="J30" s="61">
        <f t="shared" si="6"/>
        <v>28</v>
      </c>
      <c r="K30" s="62">
        <f t="shared" si="7"/>
        <v>1</v>
      </c>
    </row>
    <row r="31" spans="1:11" s="29" customFormat="1" x14ac:dyDescent="0.3">
      <c r="A31" s="91">
        <v>10</v>
      </c>
      <c r="B31" s="25" t="s">
        <v>187</v>
      </c>
      <c r="C31" s="26">
        <v>21</v>
      </c>
      <c r="D31" s="26">
        <v>1</v>
      </c>
      <c r="E31" s="27">
        <f t="shared" si="1"/>
        <v>286379.84000000003</v>
      </c>
      <c r="F31" s="27">
        <f t="shared" si="2"/>
        <v>33264.400000000001</v>
      </c>
      <c r="G31" s="27">
        <f t="shared" si="3"/>
        <v>53058.13</v>
      </c>
      <c r="H31" s="27">
        <f t="shared" si="4"/>
        <v>72.599999999999994</v>
      </c>
      <c r="I31" s="60">
        <f t="shared" si="5"/>
        <v>372774.97000000003</v>
      </c>
      <c r="J31" s="61">
        <f t="shared" si="6"/>
        <v>21</v>
      </c>
      <c r="K31" s="62">
        <f t="shared" si="7"/>
        <v>1</v>
      </c>
    </row>
    <row r="32" spans="1:11" s="29" customFormat="1" x14ac:dyDescent="0.3">
      <c r="A32" s="91">
        <v>11</v>
      </c>
      <c r="B32" s="25" t="s">
        <v>188</v>
      </c>
      <c r="C32" s="26">
        <v>31</v>
      </c>
      <c r="D32" s="26">
        <v>1</v>
      </c>
      <c r="E32" s="27">
        <f t="shared" si="1"/>
        <v>422751.19</v>
      </c>
      <c r="F32" s="27">
        <f t="shared" si="2"/>
        <v>33264.400000000001</v>
      </c>
      <c r="G32" s="27">
        <f t="shared" si="3"/>
        <v>53058.13</v>
      </c>
      <c r="H32" s="27">
        <f t="shared" si="4"/>
        <v>105.6</v>
      </c>
      <c r="I32" s="60">
        <f t="shared" si="5"/>
        <v>509179.32</v>
      </c>
      <c r="J32" s="61">
        <f t="shared" si="6"/>
        <v>31</v>
      </c>
      <c r="K32" s="62">
        <f t="shared" si="7"/>
        <v>1</v>
      </c>
    </row>
    <row r="33" spans="1:14" s="29" customFormat="1" x14ac:dyDescent="0.3">
      <c r="A33" s="91">
        <v>12</v>
      </c>
      <c r="B33" s="25" t="s">
        <v>189</v>
      </c>
      <c r="C33" s="26">
        <v>67</v>
      </c>
      <c r="D33" s="26">
        <v>1</v>
      </c>
      <c r="E33" s="27">
        <f t="shared" si="1"/>
        <v>913688.06</v>
      </c>
      <c r="F33" s="27">
        <f t="shared" si="2"/>
        <v>33264.400000000001</v>
      </c>
      <c r="G33" s="27">
        <f t="shared" si="3"/>
        <v>53058.13</v>
      </c>
      <c r="H33" s="27">
        <f t="shared" si="4"/>
        <v>224.4</v>
      </c>
      <c r="I33" s="60">
        <f t="shared" si="5"/>
        <v>1000234.9900000001</v>
      </c>
      <c r="J33" s="61">
        <f t="shared" si="6"/>
        <v>67</v>
      </c>
      <c r="K33" s="62">
        <f t="shared" si="7"/>
        <v>1</v>
      </c>
    </row>
    <row r="34" spans="1:14" s="29" customFormat="1" x14ac:dyDescent="0.3">
      <c r="A34" s="91">
        <v>13</v>
      </c>
      <c r="B34" s="25" t="s">
        <v>190</v>
      </c>
      <c r="C34" s="26">
        <v>28</v>
      </c>
      <c r="D34" s="26">
        <v>1</v>
      </c>
      <c r="E34" s="27">
        <f t="shared" si="1"/>
        <v>381839.79</v>
      </c>
      <c r="F34" s="27">
        <f t="shared" si="2"/>
        <v>33264.400000000001</v>
      </c>
      <c r="G34" s="27">
        <f t="shared" si="3"/>
        <v>53058.13</v>
      </c>
      <c r="H34" s="27">
        <f t="shared" si="4"/>
        <v>95.7</v>
      </c>
      <c r="I34" s="60">
        <f t="shared" si="5"/>
        <v>468258.02</v>
      </c>
      <c r="J34" s="61">
        <f t="shared" si="6"/>
        <v>28</v>
      </c>
      <c r="K34" s="62">
        <f t="shared" si="7"/>
        <v>1</v>
      </c>
    </row>
    <row r="35" spans="1:14" s="29" customFormat="1" x14ac:dyDescent="0.3">
      <c r="A35" s="91">
        <v>14</v>
      </c>
      <c r="B35" s="25" t="s">
        <v>191</v>
      </c>
      <c r="C35" s="26">
        <f>39-'Стоимость ПУ 2022'!C29</f>
        <v>33</v>
      </c>
      <c r="D35" s="26">
        <v>0</v>
      </c>
      <c r="E35" s="27">
        <f t="shared" si="1"/>
        <v>450025.46</v>
      </c>
      <c r="F35" s="27">
        <f t="shared" si="2"/>
        <v>0</v>
      </c>
      <c r="G35" s="27">
        <f t="shared" si="3"/>
        <v>0</v>
      </c>
      <c r="H35" s="27">
        <f t="shared" si="4"/>
        <v>108.9</v>
      </c>
      <c r="I35" s="60">
        <f t="shared" si="5"/>
        <v>450134.36000000004</v>
      </c>
      <c r="J35" s="61">
        <f t="shared" si="6"/>
        <v>33</v>
      </c>
      <c r="K35" s="62">
        <f t="shared" si="7"/>
        <v>0</v>
      </c>
    </row>
    <row r="36" spans="1:14" s="28" customFormat="1" x14ac:dyDescent="0.3">
      <c r="A36" s="91">
        <v>15</v>
      </c>
      <c r="B36" s="31" t="s">
        <v>192</v>
      </c>
      <c r="C36" s="26">
        <v>15</v>
      </c>
      <c r="D36" s="32">
        <v>1</v>
      </c>
      <c r="E36" s="33">
        <f t="shared" si="1"/>
        <v>204557.03</v>
      </c>
      <c r="F36" s="33">
        <f t="shared" si="2"/>
        <v>33264.400000000001</v>
      </c>
      <c r="G36" s="33">
        <f t="shared" si="3"/>
        <v>53058.13</v>
      </c>
      <c r="H36" s="33">
        <f t="shared" si="4"/>
        <v>52.8</v>
      </c>
      <c r="I36" s="64">
        <f t="shared" si="5"/>
        <v>290932.36</v>
      </c>
      <c r="J36" s="61">
        <f t="shared" si="6"/>
        <v>15</v>
      </c>
      <c r="K36" s="62">
        <f t="shared" si="7"/>
        <v>1</v>
      </c>
    </row>
    <row r="37" spans="1:14" s="29" customFormat="1" x14ac:dyDescent="0.3">
      <c r="A37" s="91">
        <v>16</v>
      </c>
      <c r="B37" s="25" t="s">
        <v>193</v>
      </c>
      <c r="C37" s="26">
        <v>73</v>
      </c>
      <c r="D37" s="26">
        <v>1</v>
      </c>
      <c r="E37" s="27">
        <f t="shared" si="1"/>
        <v>995510.87</v>
      </c>
      <c r="F37" s="27">
        <f t="shared" si="2"/>
        <v>33264.400000000001</v>
      </c>
      <c r="G37" s="27">
        <f t="shared" si="3"/>
        <v>53058.13</v>
      </c>
      <c r="H37" s="27">
        <f t="shared" si="4"/>
        <v>244.2</v>
      </c>
      <c r="I37" s="60">
        <f t="shared" si="5"/>
        <v>1082077.5999999999</v>
      </c>
      <c r="J37" s="61">
        <f t="shared" si="6"/>
        <v>73</v>
      </c>
      <c r="K37" s="62">
        <f t="shared" si="7"/>
        <v>1</v>
      </c>
    </row>
    <row r="38" spans="1:14" s="28" customFormat="1" x14ac:dyDescent="0.3">
      <c r="A38" s="91">
        <v>17</v>
      </c>
      <c r="B38" s="31" t="s">
        <v>194</v>
      </c>
      <c r="C38" s="26">
        <f>8+2</f>
        <v>10</v>
      </c>
      <c r="D38" s="32">
        <v>1</v>
      </c>
      <c r="E38" s="33">
        <f t="shared" si="1"/>
        <v>136371.35</v>
      </c>
      <c r="F38" s="33">
        <f t="shared" si="2"/>
        <v>33264.400000000001</v>
      </c>
      <c r="G38" s="33">
        <f t="shared" si="3"/>
        <v>53058.13</v>
      </c>
      <c r="H38" s="33">
        <f t="shared" si="4"/>
        <v>36.299999999999997</v>
      </c>
      <c r="I38" s="64">
        <f t="shared" si="5"/>
        <v>222730.18</v>
      </c>
      <c r="J38" s="61">
        <f t="shared" si="6"/>
        <v>10</v>
      </c>
      <c r="K38" s="62">
        <f t="shared" si="7"/>
        <v>1</v>
      </c>
    </row>
    <row r="39" spans="1:14" s="29" customFormat="1" x14ac:dyDescent="0.3">
      <c r="A39" s="91">
        <v>18</v>
      </c>
      <c r="B39" s="25" t="s">
        <v>195</v>
      </c>
      <c r="C39" s="26">
        <f>2+11</f>
        <v>13</v>
      </c>
      <c r="D39" s="26">
        <v>1</v>
      </c>
      <c r="E39" s="27">
        <f t="shared" si="1"/>
        <v>177282.76</v>
      </c>
      <c r="F39" s="27">
        <f t="shared" si="2"/>
        <v>33264.400000000001</v>
      </c>
      <c r="G39" s="27">
        <f t="shared" si="3"/>
        <v>53058.13</v>
      </c>
      <c r="H39" s="27">
        <f t="shared" si="4"/>
        <v>46.2</v>
      </c>
      <c r="I39" s="60">
        <f t="shared" si="5"/>
        <v>263651.49</v>
      </c>
      <c r="J39" s="61">
        <f t="shared" si="6"/>
        <v>13</v>
      </c>
      <c r="K39" s="62">
        <f t="shared" si="7"/>
        <v>1</v>
      </c>
    </row>
    <row r="40" spans="1:14" ht="19.5" thickBot="1" x14ac:dyDescent="0.35">
      <c r="A40" s="34" t="s">
        <v>14</v>
      </c>
      <c r="B40" s="35" t="s">
        <v>114</v>
      </c>
      <c r="C40" s="36">
        <f t="shared" ref="C40:K40" si="8">SUM(C22:C39)</f>
        <v>602</v>
      </c>
      <c r="D40" s="36">
        <f t="shared" si="8"/>
        <v>16</v>
      </c>
      <c r="E40" s="149">
        <f t="shared" si="8"/>
        <v>8209555.4000000004</v>
      </c>
      <c r="F40" s="149">
        <f t="shared" si="8"/>
        <v>532230.40000000014</v>
      </c>
      <c r="G40" s="149">
        <f t="shared" si="8"/>
        <v>848930.08</v>
      </c>
      <c r="H40" s="149">
        <f t="shared" si="8"/>
        <v>2039.4</v>
      </c>
      <c r="I40" s="149">
        <f t="shared" si="8"/>
        <v>9592755.2800000012</v>
      </c>
      <c r="J40" s="36">
        <f t="shared" si="8"/>
        <v>602</v>
      </c>
      <c r="K40" s="92">
        <f t="shared" si="8"/>
        <v>16</v>
      </c>
    </row>
    <row r="41" spans="1:14" x14ac:dyDescent="0.3">
      <c r="A41" s="260" t="s">
        <v>117</v>
      </c>
      <c r="B41" s="261"/>
      <c r="C41" s="261"/>
      <c r="D41" s="261"/>
      <c r="E41" s="261"/>
      <c r="F41" s="261"/>
      <c r="G41" s="261"/>
      <c r="H41" s="261"/>
      <c r="I41" s="261"/>
      <c r="J41" s="261"/>
      <c r="K41" s="262"/>
    </row>
    <row r="42" spans="1:14" x14ac:dyDescent="0.3">
      <c r="A42" s="94">
        <v>1</v>
      </c>
      <c r="B42" s="31" t="s">
        <v>196</v>
      </c>
      <c r="C42" s="32">
        <v>66</v>
      </c>
      <c r="D42" s="32">
        <v>1</v>
      </c>
      <c r="E42" s="33">
        <f t="shared" ref="E42:E62" si="9">ROUND(C42*$E$6,2)</f>
        <v>936052.96</v>
      </c>
      <c r="F42" s="33">
        <f t="shared" ref="F42:F62" si="10">IF(D42&gt;0,ROUND(D42*$E$7,2),0)</f>
        <v>34594.980000000003</v>
      </c>
      <c r="G42" s="33">
        <f t="shared" ref="G42:G62" si="11">IF(D42&gt;0,ROUND(D42*$E$8,2),0)</f>
        <v>55180.45</v>
      </c>
      <c r="H42" s="33">
        <f t="shared" ref="H42:H62" si="12">ROUND((D42+C42)*$E$12,2)</f>
        <v>221.1</v>
      </c>
      <c r="I42" s="64">
        <f t="shared" ref="I42:I54" si="13">E42+F42+G42+H42</f>
        <v>1026049.4899999999</v>
      </c>
      <c r="J42" s="65">
        <f>C42</f>
        <v>66</v>
      </c>
      <c r="K42" s="66">
        <f>D42</f>
        <v>1</v>
      </c>
      <c r="N42" s="170"/>
    </row>
    <row r="43" spans="1:14" x14ac:dyDescent="0.3">
      <c r="A43" s="63">
        <v>2</v>
      </c>
      <c r="B43" s="31" t="s">
        <v>197</v>
      </c>
      <c r="C43" s="32">
        <v>26</v>
      </c>
      <c r="D43" s="32">
        <v>1</v>
      </c>
      <c r="E43" s="33">
        <f t="shared" si="9"/>
        <v>368748.14</v>
      </c>
      <c r="F43" s="33">
        <f t="shared" si="10"/>
        <v>34594.980000000003</v>
      </c>
      <c r="G43" s="33">
        <f t="shared" si="11"/>
        <v>55180.45</v>
      </c>
      <c r="H43" s="33">
        <f t="shared" si="12"/>
        <v>89.1</v>
      </c>
      <c r="I43" s="64">
        <f t="shared" si="13"/>
        <v>458612.67</v>
      </c>
      <c r="J43" s="65">
        <f t="shared" ref="J43:J44" si="14">C43</f>
        <v>26</v>
      </c>
      <c r="K43" s="66">
        <f t="shared" ref="K43:K62" si="15">D43</f>
        <v>1</v>
      </c>
      <c r="N43" s="170"/>
    </row>
    <row r="44" spans="1:14" x14ac:dyDescent="0.3">
      <c r="A44" s="94">
        <v>3</v>
      </c>
      <c r="B44" s="31" t="s">
        <v>198</v>
      </c>
      <c r="C44" s="32">
        <v>38</v>
      </c>
      <c r="D44" s="32">
        <v>1</v>
      </c>
      <c r="E44" s="33">
        <f t="shared" si="9"/>
        <v>538939.57999999996</v>
      </c>
      <c r="F44" s="33">
        <f t="shared" si="10"/>
        <v>34594.980000000003</v>
      </c>
      <c r="G44" s="33">
        <f t="shared" si="11"/>
        <v>55180.45</v>
      </c>
      <c r="H44" s="33">
        <f t="shared" si="12"/>
        <v>128.69999999999999</v>
      </c>
      <c r="I44" s="64">
        <f t="shared" si="13"/>
        <v>628843.70999999985</v>
      </c>
      <c r="J44" s="65">
        <f t="shared" si="14"/>
        <v>38</v>
      </c>
      <c r="K44" s="66">
        <f t="shared" si="15"/>
        <v>1</v>
      </c>
      <c r="N44" s="170"/>
    </row>
    <row r="45" spans="1:14" x14ac:dyDescent="0.3">
      <c r="A45" s="63">
        <v>4</v>
      </c>
      <c r="B45" s="31" t="s">
        <v>199</v>
      </c>
      <c r="C45" s="32">
        <v>15</v>
      </c>
      <c r="D45" s="32">
        <v>1</v>
      </c>
      <c r="E45" s="33">
        <f t="shared" si="9"/>
        <v>212739.31</v>
      </c>
      <c r="F45" s="33">
        <f t="shared" si="10"/>
        <v>34594.980000000003</v>
      </c>
      <c r="G45" s="33">
        <f t="shared" si="11"/>
        <v>55180.45</v>
      </c>
      <c r="H45" s="33">
        <f t="shared" si="12"/>
        <v>52.8</v>
      </c>
      <c r="I45" s="64">
        <f t="shared" si="13"/>
        <v>302567.53999999998</v>
      </c>
      <c r="J45" s="65">
        <f t="shared" ref="J45:J62" si="16">C45</f>
        <v>15</v>
      </c>
      <c r="K45" s="66">
        <f t="shared" si="15"/>
        <v>1</v>
      </c>
      <c r="N45" s="170"/>
    </row>
    <row r="46" spans="1:14" x14ac:dyDescent="0.3">
      <c r="A46" s="94">
        <v>5</v>
      </c>
      <c r="B46" s="31" t="s">
        <v>200</v>
      </c>
      <c r="C46" s="32">
        <v>25</v>
      </c>
      <c r="D46" s="32">
        <v>1</v>
      </c>
      <c r="E46" s="33">
        <f t="shared" si="9"/>
        <v>354565.52</v>
      </c>
      <c r="F46" s="33">
        <f t="shared" si="10"/>
        <v>34594.980000000003</v>
      </c>
      <c r="G46" s="33">
        <f t="shared" si="11"/>
        <v>55180.45</v>
      </c>
      <c r="H46" s="33">
        <f t="shared" si="12"/>
        <v>85.8</v>
      </c>
      <c r="I46" s="64">
        <f t="shared" si="13"/>
        <v>444426.75</v>
      </c>
      <c r="J46" s="65">
        <f t="shared" si="16"/>
        <v>25</v>
      </c>
      <c r="K46" s="66">
        <f t="shared" si="15"/>
        <v>1</v>
      </c>
      <c r="N46" s="170"/>
    </row>
    <row r="47" spans="1:14" x14ac:dyDescent="0.3">
      <c r="A47" s="63">
        <v>6</v>
      </c>
      <c r="B47" s="31" t="s">
        <v>201</v>
      </c>
      <c r="C47" s="32">
        <v>32</v>
      </c>
      <c r="D47" s="32">
        <v>1</v>
      </c>
      <c r="E47" s="33">
        <f t="shared" si="9"/>
        <v>453843.86</v>
      </c>
      <c r="F47" s="33">
        <f t="shared" si="10"/>
        <v>34594.980000000003</v>
      </c>
      <c r="G47" s="33">
        <f t="shared" si="11"/>
        <v>55180.45</v>
      </c>
      <c r="H47" s="33">
        <f t="shared" si="12"/>
        <v>108.9</v>
      </c>
      <c r="I47" s="64">
        <f t="shared" si="13"/>
        <v>543728.18999999994</v>
      </c>
      <c r="J47" s="65">
        <f t="shared" si="16"/>
        <v>32</v>
      </c>
      <c r="K47" s="66">
        <f t="shared" si="15"/>
        <v>1</v>
      </c>
      <c r="N47" s="170"/>
    </row>
    <row r="48" spans="1:14" x14ac:dyDescent="0.3">
      <c r="A48" s="94">
        <v>7</v>
      </c>
      <c r="B48" s="31" t="s">
        <v>202</v>
      </c>
      <c r="C48" s="32">
        <v>31</v>
      </c>
      <c r="D48" s="32">
        <v>1</v>
      </c>
      <c r="E48" s="33">
        <f t="shared" si="9"/>
        <v>439661.24</v>
      </c>
      <c r="F48" s="33">
        <f t="shared" si="10"/>
        <v>34594.980000000003</v>
      </c>
      <c r="G48" s="33">
        <f t="shared" si="11"/>
        <v>55180.45</v>
      </c>
      <c r="H48" s="33">
        <f t="shared" si="12"/>
        <v>105.6</v>
      </c>
      <c r="I48" s="64">
        <f t="shared" si="13"/>
        <v>529542.2699999999</v>
      </c>
      <c r="J48" s="65">
        <f t="shared" si="16"/>
        <v>31</v>
      </c>
      <c r="K48" s="66">
        <f t="shared" si="15"/>
        <v>1</v>
      </c>
      <c r="N48" s="170"/>
    </row>
    <row r="49" spans="1:14" x14ac:dyDescent="0.3">
      <c r="A49" s="63">
        <v>8</v>
      </c>
      <c r="B49" s="31" t="s">
        <v>203</v>
      </c>
      <c r="C49" s="32">
        <v>82</v>
      </c>
      <c r="D49" s="32">
        <v>1</v>
      </c>
      <c r="E49" s="33">
        <f t="shared" si="9"/>
        <v>1162974.8899999999</v>
      </c>
      <c r="F49" s="33">
        <f t="shared" si="10"/>
        <v>34594.980000000003</v>
      </c>
      <c r="G49" s="33">
        <f t="shared" si="11"/>
        <v>55180.45</v>
      </c>
      <c r="H49" s="33">
        <f t="shared" si="12"/>
        <v>273.89999999999998</v>
      </c>
      <c r="I49" s="64">
        <f t="shared" si="13"/>
        <v>1253024.2199999997</v>
      </c>
      <c r="J49" s="65">
        <f t="shared" si="16"/>
        <v>82</v>
      </c>
      <c r="K49" s="66">
        <f t="shared" si="15"/>
        <v>1</v>
      </c>
      <c r="N49" s="170"/>
    </row>
    <row r="50" spans="1:14" x14ac:dyDescent="0.3">
      <c r="A50" s="94">
        <v>9</v>
      </c>
      <c r="B50" s="31" t="s">
        <v>204</v>
      </c>
      <c r="C50" s="32">
        <f>57+6+3</f>
        <v>66</v>
      </c>
      <c r="D50" s="32">
        <v>1</v>
      </c>
      <c r="E50" s="33">
        <f t="shared" si="9"/>
        <v>936052.96</v>
      </c>
      <c r="F50" s="33">
        <f t="shared" si="10"/>
        <v>34594.980000000003</v>
      </c>
      <c r="G50" s="33">
        <f t="shared" si="11"/>
        <v>55180.45</v>
      </c>
      <c r="H50" s="33">
        <f t="shared" si="12"/>
        <v>221.1</v>
      </c>
      <c r="I50" s="64">
        <f t="shared" si="13"/>
        <v>1026049.4899999999</v>
      </c>
      <c r="J50" s="65">
        <f t="shared" si="16"/>
        <v>66</v>
      </c>
      <c r="K50" s="66">
        <f t="shared" si="15"/>
        <v>1</v>
      </c>
      <c r="N50" s="170"/>
    </row>
    <row r="51" spans="1:14" x14ac:dyDescent="0.3">
      <c r="A51" s="63">
        <v>10</v>
      </c>
      <c r="B51" s="31" t="s">
        <v>205</v>
      </c>
      <c r="C51" s="32">
        <f>33+1</f>
        <v>34</v>
      </c>
      <c r="D51" s="32">
        <v>1</v>
      </c>
      <c r="E51" s="33">
        <f t="shared" si="9"/>
        <v>482209.1</v>
      </c>
      <c r="F51" s="33">
        <f t="shared" si="10"/>
        <v>34594.980000000003</v>
      </c>
      <c r="G51" s="33">
        <f t="shared" si="11"/>
        <v>55180.45</v>
      </c>
      <c r="H51" s="33">
        <f t="shared" si="12"/>
        <v>115.5</v>
      </c>
      <c r="I51" s="64">
        <f t="shared" si="13"/>
        <v>572100.02999999991</v>
      </c>
      <c r="J51" s="65">
        <f t="shared" si="16"/>
        <v>34</v>
      </c>
      <c r="K51" s="66">
        <f t="shared" si="15"/>
        <v>1</v>
      </c>
      <c r="N51" s="170"/>
    </row>
    <row r="52" spans="1:14" x14ac:dyDescent="0.3">
      <c r="A52" s="94">
        <v>11</v>
      </c>
      <c r="B52" s="31" t="s">
        <v>206</v>
      </c>
      <c r="C52" s="32">
        <v>69</v>
      </c>
      <c r="D52" s="32">
        <v>1</v>
      </c>
      <c r="E52" s="33">
        <f t="shared" si="9"/>
        <v>978600.82</v>
      </c>
      <c r="F52" s="33">
        <f t="shared" si="10"/>
        <v>34594.980000000003</v>
      </c>
      <c r="G52" s="33">
        <f t="shared" si="11"/>
        <v>55180.45</v>
      </c>
      <c r="H52" s="33">
        <f t="shared" si="12"/>
        <v>231</v>
      </c>
      <c r="I52" s="64">
        <f t="shared" si="13"/>
        <v>1068607.25</v>
      </c>
      <c r="J52" s="65">
        <f t="shared" si="16"/>
        <v>69</v>
      </c>
      <c r="K52" s="66">
        <f t="shared" si="15"/>
        <v>1</v>
      </c>
      <c r="N52" s="170"/>
    </row>
    <row r="53" spans="1:14" x14ac:dyDescent="0.3">
      <c r="A53" s="63">
        <v>12</v>
      </c>
      <c r="B53" s="31" t="s">
        <v>207</v>
      </c>
      <c r="C53" s="32">
        <f>25+1+5</f>
        <v>31</v>
      </c>
      <c r="D53" s="32">
        <v>1</v>
      </c>
      <c r="E53" s="33">
        <f t="shared" si="9"/>
        <v>439661.24</v>
      </c>
      <c r="F53" s="33">
        <f t="shared" si="10"/>
        <v>34594.980000000003</v>
      </c>
      <c r="G53" s="33">
        <f t="shared" si="11"/>
        <v>55180.45</v>
      </c>
      <c r="H53" s="33">
        <f t="shared" si="12"/>
        <v>105.6</v>
      </c>
      <c r="I53" s="64">
        <f t="shared" si="13"/>
        <v>529542.2699999999</v>
      </c>
      <c r="J53" s="65">
        <f t="shared" si="16"/>
        <v>31</v>
      </c>
      <c r="K53" s="66">
        <f t="shared" si="15"/>
        <v>1</v>
      </c>
      <c r="N53" s="170"/>
    </row>
    <row r="54" spans="1:14" x14ac:dyDescent="0.3">
      <c r="A54" s="94">
        <v>13</v>
      </c>
      <c r="B54" s="31" t="s">
        <v>208</v>
      </c>
      <c r="C54" s="32">
        <f>19+1+4</f>
        <v>24</v>
      </c>
      <c r="D54" s="32">
        <v>1</v>
      </c>
      <c r="E54" s="33">
        <f t="shared" si="9"/>
        <v>340382.89</v>
      </c>
      <c r="F54" s="33">
        <f t="shared" si="10"/>
        <v>34594.980000000003</v>
      </c>
      <c r="G54" s="33">
        <f t="shared" si="11"/>
        <v>55180.45</v>
      </c>
      <c r="H54" s="33">
        <f t="shared" si="12"/>
        <v>82.5</v>
      </c>
      <c r="I54" s="64">
        <f t="shared" si="13"/>
        <v>430240.82</v>
      </c>
      <c r="J54" s="65">
        <f t="shared" si="16"/>
        <v>24</v>
      </c>
      <c r="K54" s="66">
        <f t="shared" si="15"/>
        <v>1</v>
      </c>
      <c r="N54" s="170"/>
    </row>
    <row r="55" spans="1:14" x14ac:dyDescent="0.3">
      <c r="A55" s="63">
        <v>14</v>
      </c>
      <c r="B55" s="31" t="s">
        <v>209</v>
      </c>
      <c r="C55" s="32">
        <f>8+10+2</f>
        <v>20</v>
      </c>
      <c r="D55" s="32">
        <v>1</v>
      </c>
      <c r="E55" s="33">
        <f t="shared" si="9"/>
        <v>283652.40999999997</v>
      </c>
      <c r="F55" s="33">
        <f t="shared" si="10"/>
        <v>34594.980000000003</v>
      </c>
      <c r="G55" s="33">
        <f t="shared" si="11"/>
        <v>55180.45</v>
      </c>
      <c r="H55" s="33">
        <f t="shared" si="12"/>
        <v>69.3</v>
      </c>
      <c r="I55" s="64">
        <f t="shared" ref="I55" si="17">E55+F55+G55+H55</f>
        <v>373497.13999999996</v>
      </c>
      <c r="J55" s="65">
        <f t="shared" si="16"/>
        <v>20</v>
      </c>
      <c r="K55" s="66">
        <f t="shared" si="15"/>
        <v>1</v>
      </c>
      <c r="N55" s="170"/>
    </row>
    <row r="56" spans="1:14" x14ac:dyDescent="0.3">
      <c r="A56" s="94">
        <v>15</v>
      </c>
      <c r="B56" s="31" t="s">
        <v>210</v>
      </c>
      <c r="C56" s="32">
        <f>16+5+7</f>
        <v>28</v>
      </c>
      <c r="D56" s="32">
        <v>1</v>
      </c>
      <c r="E56" s="33">
        <f t="shared" si="9"/>
        <v>397113.38</v>
      </c>
      <c r="F56" s="33">
        <f t="shared" si="10"/>
        <v>34594.980000000003</v>
      </c>
      <c r="G56" s="33">
        <f t="shared" si="11"/>
        <v>55180.45</v>
      </c>
      <c r="H56" s="33">
        <f t="shared" si="12"/>
        <v>95.7</v>
      </c>
      <c r="I56" s="64">
        <f t="shared" ref="I56" si="18">E56+F56+G56+H56</f>
        <v>486984.51</v>
      </c>
      <c r="J56" s="65">
        <f t="shared" si="16"/>
        <v>28</v>
      </c>
      <c r="K56" s="66">
        <f t="shared" si="15"/>
        <v>1</v>
      </c>
      <c r="N56" s="170"/>
    </row>
    <row r="57" spans="1:14" x14ac:dyDescent="0.3">
      <c r="A57" s="63">
        <v>16</v>
      </c>
      <c r="B57" s="31" t="s">
        <v>211</v>
      </c>
      <c r="C57" s="32">
        <v>15</v>
      </c>
      <c r="D57" s="32">
        <v>1</v>
      </c>
      <c r="E57" s="33">
        <f t="shared" si="9"/>
        <v>212739.31</v>
      </c>
      <c r="F57" s="33">
        <f t="shared" si="10"/>
        <v>34594.980000000003</v>
      </c>
      <c r="G57" s="33">
        <f t="shared" si="11"/>
        <v>55180.45</v>
      </c>
      <c r="H57" s="33">
        <f t="shared" si="12"/>
        <v>52.8</v>
      </c>
      <c r="I57" s="64">
        <f t="shared" ref="I57" si="19">E57+F57+G57+H57</f>
        <v>302567.53999999998</v>
      </c>
      <c r="J57" s="65">
        <f t="shared" si="16"/>
        <v>15</v>
      </c>
      <c r="K57" s="66">
        <f t="shared" si="15"/>
        <v>1</v>
      </c>
      <c r="N57" s="170"/>
    </row>
    <row r="58" spans="1:14" x14ac:dyDescent="0.3">
      <c r="A58" s="94">
        <v>17</v>
      </c>
      <c r="B58" s="31" t="s">
        <v>212</v>
      </c>
      <c r="C58" s="32">
        <f>15+1</f>
        <v>16</v>
      </c>
      <c r="D58" s="32">
        <v>1</v>
      </c>
      <c r="E58" s="33">
        <f t="shared" si="9"/>
        <v>226921.93</v>
      </c>
      <c r="F58" s="33">
        <f t="shared" si="10"/>
        <v>34594.980000000003</v>
      </c>
      <c r="G58" s="33">
        <f t="shared" si="11"/>
        <v>55180.45</v>
      </c>
      <c r="H58" s="33">
        <f t="shared" si="12"/>
        <v>56.1</v>
      </c>
      <c r="I58" s="64">
        <f t="shared" ref="I58" si="20">E58+F58+G58+H58</f>
        <v>316753.45999999996</v>
      </c>
      <c r="J58" s="65">
        <f t="shared" si="16"/>
        <v>16</v>
      </c>
      <c r="K58" s="66">
        <f t="shared" si="15"/>
        <v>1</v>
      </c>
      <c r="N58" s="170"/>
    </row>
    <row r="59" spans="1:14" x14ac:dyDescent="0.3">
      <c r="A59" s="63">
        <v>18</v>
      </c>
      <c r="B59" s="31" t="s">
        <v>213</v>
      </c>
      <c r="C59" s="32">
        <v>51</v>
      </c>
      <c r="D59" s="32">
        <v>1</v>
      </c>
      <c r="E59" s="33">
        <f t="shared" si="9"/>
        <v>723313.65</v>
      </c>
      <c r="F59" s="33">
        <f t="shared" si="10"/>
        <v>34594.980000000003</v>
      </c>
      <c r="G59" s="33">
        <f t="shared" si="11"/>
        <v>55180.45</v>
      </c>
      <c r="H59" s="33">
        <f t="shared" si="12"/>
        <v>171.6</v>
      </c>
      <c r="I59" s="64">
        <f>E59+F59+G59+H59</f>
        <v>813260.67999999993</v>
      </c>
      <c r="J59" s="65">
        <f t="shared" si="16"/>
        <v>51</v>
      </c>
      <c r="K59" s="66">
        <f t="shared" si="15"/>
        <v>1</v>
      </c>
      <c r="N59" s="170"/>
    </row>
    <row r="60" spans="1:14" x14ac:dyDescent="0.3">
      <c r="A60" s="94">
        <v>19</v>
      </c>
      <c r="B60" s="31" t="s">
        <v>214</v>
      </c>
      <c r="C60" s="32">
        <f>1+20+7</f>
        <v>28</v>
      </c>
      <c r="D60" s="32">
        <v>1</v>
      </c>
      <c r="E60" s="33">
        <f t="shared" si="9"/>
        <v>397113.38</v>
      </c>
      <c r="F60" s="33">
        <f t="shared" si="10"/>
        <v>34594.980000000003</v>
      </c>
      <c r="G60" s="33">
        <f t="shared" si="11"/>
        <v>55180.45</v>
      </c>
      <c r="H60" s="33">
        <f t="shared" si="12"/>
        <v>95.7</v>
      </c>
      <c r="I60" s="64">
        <f>E60+F60+G60+H60</f>
        <v>486984.51</v>
      </c>
      <c r="J60" s="65">
        <f t="shared" si="16"/>
        <v>28</v>
      </c>
      <c r="K60" s="66">
        <f t="shared" si="15"/>
        <v>1</v>
      </c>
      <c r="N60" s="170"/>
    </row>
    <row r="61" spans="1:14" x14ac:dyDescent="0.3">
      <c r="A61" s="63">
        <v>20</v>
      </c>
      <c r="B61" s="31" t="s">
        <v>215</v>
      </c>
      <c r="C61" s="32">
        <f>4+38+3</f>
        <v>45</v>
      </c>
      <c r="D61" s="32">
        <v>1</v>
      </c>
      <c r="E61" s="33">
        <f t="shared" si="9"/>
        <v>638217.93000000005</v>
      </c>
      <c r="F61" s="33">
        <f t="shared" si="10"/>
        <v>34594.980000000003</v>
      </c>
      <c r="G61" s="33">
        <f t="shared" si="11"/>
        <v>55180.45</v>
      </c>
      <c r="H61" s="33">
        <f t="shared" si="12"/>
        <v>151.80000000000001</v>
      </c>
      <c r="I61" s="64">
        <f>E61+F61+G61+H61</f>
        <v>728145.16</v>
      </c>
      <c r="J61" s="65">
        <f t="shared" si="16"/>
        <v>45</v>
      </c>
      <c r="K61" s="66">
        <f t="shared" si="15"/>
        <v>1</v>
      </c>
      <c r="N61" s="170"/>
    </row>
    <row r="62" spans="1:14" x14ac:dyDescent="0.3">
      <c r="A62" s="94">
        <v>21</v>
      </c>
      <c r="B62" s="31" t="s">
        <v>216</v>
      </c>
      <c r="C62" s="32">
        <f>15+6+2</f>
        <v>23</v>
      </c>
      <c r="D62" s="32">
        <v>1</v>
      </c>
      <c r="E62" s="33">
        <f t="shared" si="9"/>
        <v>326200.27</v>
      </c>
      <c r="F62" s="33">
        <f t="shared" si="10"/>
        <v>34594.980000000003</v>
      </c>
      <c r="G62" s="33">
        <f t="shared" si="11"/>
        <v>55180.45</v>
      </c>
      <c r="H62" s="33">
        <f t="shared" si="12"/>
        <v>79.2</v>
      </c>
      <c r="I62" s="64">
        <f t="shared" ref="I62" si="21">E62+F62+G62+H62</f>
        <v>416054.9</v>
      </c>
      <c r="J62" s="65">
        <f t="shared" si="16"/>
        <v>23</v>
      </c>
      <c r="K62" s="66">
        <f t="shared" si="15"/>
        <v>1</v>
      </c>
      <c r="N62" s="170"/>
    </row>
    <row r="63" spans="1:14" ht="19.5" thickBot="1" x14ac:dyDescent="0.35">
      <c r="A63" s="95" t="s">
        <v>14</v>
      </c>
      <c r="B63" s="96" t="s">
        <v>116</v>
      </c>
      <c r="C63" s="97">
        <f t="shared" ref="C63:K63" si="22">SUM(C42:C62)</f>
        <v>765</v>
      </c>
      <c r="D63" s="97">
        <f t="shared" si="22"/>
        <v>21</v>
      </c>
      <c r="E63" s="98">
        <f t="shared" si="22"/>
        <v>10849704.77</v>
      </c>
      <c r="F63" s="98">
        <f t="shared" si="22"/>
        <v>726494.57999999984</v>
      </c>
      <c r="G63" s="98">
        <f t="shared" si="22"/>
        <v>1158789.4499999995</v>
      </c>
      <c r="H63" s="98">
        <f t="shared" si="22"/>
        <v>2593.7999999999997</v>
      </c>
      <c r="I63" s="98">
        <f>SUM(I42:I62)</f>
        <v>12737582.599999998</v>
      </c>
      <c r="J63" s="97">
        <f t="shared" si="22"/>
        <v>765</v>
      </c>
      <c r="K63" s="99">
        <f t="shared" si="22"/>
        <v>21</v>
      </c>
    </row>
    <row r="68" spans="1:11" ht="23.25" customHeight="1" x14ac:dyDescent="0.3">
      <c r="A68" s="151" t="s">
        <v>218</v>
      </c>
      <c r="I68" s="38"/>
      <c r="J68" s="38"/>
      <c r="K68" s="22" t="s">
        <v>219</v>
      </c>
    </row>
    <row r="69" spans="1:11" x14ac:dyDescent="0.3">
      <c r="A69" s="28"/>
      <c r="B69" s="28"/>
      <c r="C69" s="28"/>
      <c r="D69" s="28"/>
      <c r="E69" s="76"/>
      <c r="F69" s="28"/>
      <c r="G69" s="28"/>
      <c r="H69" s="28"/>
      <c r="I69" s="73"/>
      <c r="J69" s="73"/>
      <c r="K69" s="140"/>
    </row>
    <row r="70" spans="1:11" ht="47.25" customHeight="1" x14ac:dyDescent="0.3">
      <c r="C70" s="134"/>
      <c r="D70" s="134"/>
      <c r="E70" s="134"/>
      <c r="F70" s="134"/>
      <c r="G70" s="134"/>
      <c r="I70" s="38"/>
      <c r="J70" s="38"/>
      <c r="K70" s="22"/>
    </row>
    <row r="71" spans="1:11" x14ac:dyDescent="0.3">
      <c r="A71" s="177" t="s">
        <v>220</v>
      </c>
      <c r="B71" s="177"/>
      <c r="C71" s="134"/>
      <c r="D71" s="134"/>
      <c r="E71" s="134"/>
      <c r="F71" s="134"/>
      <c r="G71" s="134"/>
      <c r="I71" s="38"/>
      <c r="J71" s="38"/>
      <c r="K71" s="22" t="s">
        <v>16</v>
      </c>
    </row>
    <row r="72" spans="1:11" x14ac:dyDescent="0.3">
      <c r="A72" s="21"/>
      <c r="I72" s="38"/>
      <c r="J72" s="38"/>
      <c r="K72" s="22"/>
    </row>
    <row r="73" spans="1:11" x14ac:dyDescent="0.3">
      <c r="A73" s="21"/>
      <c r="I73" s="38"/>
      <c r="J73" s="38"/>
      <c r="K73" s="22"/>
    </row>
    <row r="74" spans="1:11" x14ac:dyDescent="0.3">
      <c r="A74" s="151" t="s">
        <v>131</v>
      </c>
      <c r="I74" s="38"/>
      <c r="J74" s="38"/>
      <c r="K74" s="22" t="s">
        <v>17</v>
      </c>
    </row>
    <row r="75" spans="1:11" ht="33.75" customHeight="1" x14ac:dyDescent="0.3"/>
    <row r="76" spans="1:11" x14ac:dyDescent="0.3">
      <c r="A76" s="151" t="s">
        <v>221</v>
      </c>
      <c r="I76" s="38"/>
      <c r="J76" s="38"/>
      <c r="K76" s="22" t="s">
        <v>222</v>
      </c>
    </row>
  </sheetData>
  <autoFilter ref="A20:K63" xr:uid="{ED2C2FBD-43EE-4C10-8815-01A411203704}"/>
  <mergeCells count="17">
    <mergeCell ref="F6:H6"/>
    <mergeCell ref="F5:H5"/>
    <mergeCell ref="A41:K41"/>
    <mergeCell ref="A71:B71"/>
    <mergeCell ref="A1:K1"/>
    <mergeCell ref="A21:K21"/>
    <mergeCell ref="A3:H3"/>
    <mergeCell ref="A2:K2"/>
    <mergeCell ref="A16:K16"/>
    <mergeCell ref="A13:H13"/>
    <mergeCell ref="F4:H4"/>
    <mergeCell ref="F12:H12"/>
    <mergeCell ref="F11:H11"/>
    <mergeCell ref="F10:H10"/>
    <mergeCell ref="F9:H9"/>
    <mergeCell ref="F8:H8"/>
    <mergeCell ref="F7:H7"/>
  </mergeCells>
  <phoneticPr fontId="3" type="noConversion"/>
  <conditionalFormatting sqref="B37">
    <cfRule type="duplicateValues" dxfId="25" priority="14"/>
    <cfRule type="duplicateValues" dxfId="24" priority="15"/>
    <cfRule type="duplicateValues" dxfId="23" priority="16"/>
  </conditionalFormatting>
  <conditionalFormatting sqref="B38:B40 B22:B36 B42:B62">
    <cfRule type="duplicateValues" dxfId="22" priority="77"/>
    <cfRule type="duplicateValues" dxfId="21" priority="78"/>
    <cfRule type="duplicateValues" dxfId="20" priority="79"/>
  </conditionalFormatting>
  <conditionalFormatting sqref="I69:K69">
    <cfRule type="cellIs" dxfId="19" priority="10" operator="notEqual">
      <formula>0</formula>
    </cfRule>
  </conditionalFormatting>
  <conditionalFormatting sqref="I68:J69 K69">
    <cfRule type="cellIs" dxfId="18" priority="5" operator="notEqual">
      <formula>0</formula>
    </cfRule>
    <cfRule type="cellIs" dxfId="17" priority="6" operator="notEqual">
      <formula>0</formula>
    </cfRule>
  </conditionalFormatting>
  <conditionalFormatting sqref="I68:J68">
    <cfRule type="cellIs" dxfId="16" priority="4" operator="notEqual">
      <formula>0</formula>
    </cfRule>
  </conditionalFormatting>
  <conditionalFormatting sqref="I70:J74">
    <cfRule type="cellIs" dxfId="15" priority="8" operator="notEqual">
      <formula>0</formula>
    </cfRule>
    <cfRule type="cellIs" dxfId="14" priority="9" operator="notEqual">
      <formula>0</formula>
    </cfRule>
  </conditionalFormatting>
  <conditionalFormatting sqref="I70:J74">
    <cfRule type="cellIs" dxfId="13" priority="7" operator="notEqual">
      <formula>0</formula>
    </cfRule>
  </conditionalFormatting>
  <conditionalFormatting sqref="I76:J76">
    <cfRule type="cellIs" dxfId="12" priority="2" operator="notEqual">
      <formula>0</formula>
    </cfRule>
    <cfRule type="cellIs" dxfId="11" priority="3" operator="notEqual">
      <formula>0</formula>
    </cfRule>
  </conditionalFormatting>
  <conditionalFormatting sqref="I76:J76">
    <cfRule type="cellIs" dxfId="10" priority="1" operator="notEqual">
      <formula>0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49" fitToHeight="2" orientation="landscape" r:id="rId1"/>
  <rowBreaks count="1" manualBreakCount="1">
    <brk id="1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B618C-6D88-478A-AAFD-71C3F51DEF28}">
  <dimension ref="A1:M86"/>
  <sheetViews>
    <sheetView view="pageBreakPreview" topLeftCell="A19" zoomScale="60" zoomScaleNormal="70" workbookViewId="0">
      <selection activeCell="C72" sqref="C72:D72"/>
    </sheetView>
  </sheetViews>
  <sheetFormatPr defaultRowHeight="18.75" x14ac:dyDescent="0.3"/>
  <cols>
    <col min="1" max="1" width="9.140625" style="100"/>
    <col min="2" max="2" width="55.28515625" style="100" customWidth="1"/>
    <col min="3" max="3" width="24" style="100" customWidth="1"/>
    <col min="4" max="5" width="19.7109375" style="100" customWidth="1"/>
    <col min="6" max="6" width="24.7109375" style="100" customWidth="1"/>
    <col min="7" max="7" width="20.28515625" style="100" customWidth="1"/>
    <col min="8" max="8" width="20.42578125" style="100" customWidth="1"/>
    <col min="9" max="9" width="21" style="100" customWidth="1"/>
    <col min="10" max="10" width="21.7109375" style="100" customWidth="1"/>
    <col min="11" max="11" width="23.28515625" style="100" customWidth="1"/>
    <col min="12" max="12" width="26.5703125" style="100" customWidth="1"/>
    <col min="13" max="13" width="22.28515625" style="100" customWidth="1"/>
    <col min="14" max="16384" width="9.140625" style="100"/>
  </cols>
  <sheetData>
    <row r="1" spans="1:13" ht="33.75" customHeight="1" x14ac:dyDescent="0.3">
      <c r="A1" s="173" t="s">
        <v>103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33.75" customHeight="1" x14ac:dyDescent="0.3">
      <c r="A2" s="243" t="s">
        <v>20</v>
      </c>
      <c r="B2" s="243"/>
      <c r="C2" s="243"/>
      <c r="D2" s="243"/>
      <c r="E2" s="243"/>
      <c r="F2" s="243"/>
      <c r="G2" s="243"/>
      <c r="H2" s="243"/>
      <c r="I2" s="168"/>
      <c r="J2" s="168"/>
      <c r="K2" s="168"/>
      <c r="L2" s="168"/>
      <c r="M2" s="168"/>
    </row>
    <row r="3" spans="1:13" ht="30.75" customHeight="1" thickBot="1" x14ac:dyDescent="0.35">
      <c r="A3" s="277" t="s">
        <v>158</v>
      </c>
      <c r="B3" s="277"/>
      <c r="C3" s="277"/>
      <c r="D3" s="277"/>
      <c r="E3" s="277"/>
      <c r="F3" s="277"/>
      <c r="G3" s="277"/>
      <c r="H3" s="277"/>
      <c r="I3" s="116"/>
      <c r="J3" s="116"/>
      <c r="K3" s="116"/>
      <c r="L3" s="116"/>
      <c r="M3" s="116"/>
    </row>
    <row r="4" spans="1:13" ht="56.25" x14ac:dyDescent="0.3">
      <c r="A4" s="16" t="s">
        <v>0</v>
      </c>
      <c r="B4" s="138" t="s">
        <v>1</v>
      </c>
      <c r="C4" s="138" t="s">
        <v>30</v>
      </c>
      <c r="D4" s="138" t="s">
        <v>83</v>
      </c>
      <c r="E4" s="138" t="s">
        <v>101</v>
      </c>
      <c r="F4" s="138" t="s">
        <v>102</v>
      </c>
      <c r="G4" s="244" t="s">
        <v>2</v>
      </c>
      <c r="H4" s="246"/>
      <c r="I4" s="15"/>
      <c r="J4" s="15"/>
      <c r="K4" s="15"/>
      <c r="L4" s="15"/>
      <c r="M4" s="15"/>
    </row>
    <row r="5" spans="1:13" s="115" customFormat="1" ht="19.5" thickBot="1" x14ac:dyDescent="0.35">
      <c r="A5" s="117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278">
        <v>7</v>
      </c>
      <c r="H5" s="279"/>
      <c r="I5" s="15"/>
      <c r="J5" s="15"/>
      <c r="K5" s="15"/>
      <c r="L5" s="15"/>
      <c r="M5" s="15"/>
    </row>
    <row r="6" spans="1:13" ht="23.25" customHeight="1" x14ac:dyDescent="0.3">
      <c r="A6" s="280" t="s">
        <v>70</v>
      </c>
      <c r="B6" s="281"/>
      <c r="C6" s="281"/>
      <c r="D6" s="281"/>
      <c r="E6" s="281"/>
      <c r="F6" s="281"/>
      <c r="G6" s="281"/>
      <c r="H6" s="282"/>
      <c r="I6" s="15"/>
      <c r="J6" s="15"/>
      <c r="K6" s="15"/>
      <c r="L6" s="15"/>
      <c r="M6" s="15"/>
    </row>
    <row r="7" spans="1:13" s="162" customFormat="1" ht="37.5" x14ac:dyDescent="0.3">
      <c r="A7" s="141">
        <v>1</v>
      </c>
      <c r="B7" s="142" t="s">
        <v>59</v>
      </c>
      <c r="C7" s="142"/>
      <c r="D7" s="143">
        <f>D8+D9+D10</f>
        <v>19.04</v>
      </c>
      <c r="E7" s="143">
        <f>E8+E9+E10</f>
        <v>19.04</v>
      </c>
      <c r="F7" s="143">
        <f>F8+F9+F10</f>
        <v>19.04</v>
      </c>
      <c r="G7" s="283"/>
      <c r="H7" s="239"/>
      <c r="I7" s="161"/>
      <c r="J7" s="161"/>
      <c r="K7" s="161"/>
      <c r="L7" s="161"/>
      <c r="M7" s="161"/>
    </row>
    <row r="8" spans="1:13" ht="32.25" customHeight="1" x14ac:dyDescent="0.3">
      <c r="A8" s="144" t="s">
        <v>66</v>
      </c>
      <c r="B8" s="119" t="s">
        <v>34</v>
      </c>
      <c r="C8" s="157" t="s">
        <v>31</v>
      </c>
      <c r="D8" s="120">
        <v>2.17</v>
      </c>
      <c r="E8" s="120">
        <v>2.17</v>
      </c>
      <c r="F8" s="120">
        <v>2.17</v>
      </c>
      <c r="G8" s="217" t="s">
        <v>49</v>
      </c>
      <c r="H8" s="219"/>
      <c r="I8" s="15"/>
      <c r="J8" s="15"/>
      <c r="K8" s="15"/>
      <c r="L8" s="15"/>
      <c r="M8" s="15"/>
    </row>
    <row r="9" spans="1:13" ht="36" customHeight="1" x14ac:dyDescent="0.3">
      <c r="A9" s="144" t="s">
        <v>68</v>
      </c>
      <c r="B9" s="119" t="s">
        <v>35</v>
      </c>
      <c r="C9" s="157" t="s">
        <v>38</v>
      </c>
      <c r="D9" s="120">
        <v>0.65</v>
      </c>
      <c r="E9" s="120">
        <v>0.65</v>
      </c>
      <c r="F9" s="120">
        <v>0.65</v>
      </c>
      <c r="G9" s="220"/>
      <c r="H9" s="222"/>
      <c r="I9" s="15"/>
      <c r="J9" s="15"/>
      <c r="K9" s="15"/>
      <c r="L9" s="15"/>
      <c r="M9" s="15"/>
    </row>
    <row r="10" spans="1:13" ht="39" customHeight="1" x14ac:dyDescent="0.3">
      <c r="A10" s="144" t="s">
        <v>67</v>
      </c>
      <c r="B10" s="119" t="s">
        <v>40</v>
      </c>
      <c r="C10" s="157" t="s">
        <v>48</v>
      </c>
      <c r="D10" s="120">
        <v>16.22</v>
      </c>
      <c r="E10" s="120">
        <v>16.22</v>
      </c>
      <c r="F10" s="120">
        <v>16.22</v>
      </c>
      <c r="G10" s="223"/>
      <c r="H10" s="225"/>
      <c r="I10" s="15"/>
      <c r="J10" s="15"/>
      <c r="K10" s="15"/>
      <c r="L10" s="15"/>
      <c r="M10" s="15"/>
    </row>
    <row r="11" spans="1:13" s="162" customFormat="1" ht="37.5" x14ac:dyDescent="0.3">
      <c r="A11" s="141">
        <v>2</v>
      </c>
      <c r="B11" s="142" t="s">
        <v>60</v>
      </c>
      <c r="C11" s="163"/>
      <c r="D11" s="143">
        <f>D12+D13+D14</f>
        <v>23.279999999999998</v>
      </c>
      <c r="E11" s="143">
        <f>E12+E13+E14</f>
        <v>23.279999999999998</v>
      </c>
      <c r="F11" s="143">
        <f>F12+F13+F14</f>
        <v>23.279999999999998</v>
      </c>
      <c r="G11" s="283"/>
      <c r="H11" s="239"/>
      <c r="I11" s="161"/>
      <c r="J11" s="161"/>
      <c r="K11" s="161"/>
      <c r="L11" s="161"/>
      <c r="M11" s="161"/>
    </row>
    <row r="12" spans="1:13" ht="31.5" customHeight="1" x14ac:dyDescent="0.3">
      <c r="A12" s="144" t="s">
        <v>41</v>
      </c>
      <c r="B12" s="119" t="s">
        <v>36</v>
      </c>
      <c r="C12" s="157" t="s">
        <v>32</v>
      </c>
      <c r="D12" s="120">
        <v>5.43</v>
      </c>
      <c r="E12" s="120">
        <v>5.43</v>
      </c>
      <c r="F12" s="120">
        <v>5.43</v>
      </c>
      <c r="G12" s="217" t="s">
        <v>49</v>
      </c>
      <c r="H12" s="219"/>
      <c r="I12" s="15"/>
      <c r="J12" s="15"/>
      <c r="K12" s="15"/>
      <c r="L12" s="15"/>
      <c r="M12" s="15"/>
    </row>
    <row r="13" spans="1:13" ht="33" x14ac:dyDescent="0.3">
      <c r="A13" s="144" t="s">
        <v>42</v>
      </c>
      <c r="B13" s="119" t="s">
        <v>37</v>
      </c>
      <c r="C13" s="157" t="s">
        <v>33</v>
      </c>
      <c r="D13" s="120">
        <v>1.63</v>
      </c>
      <c r="E13" s="120">
        <v>1.63</v>
      </c>
      <c r="F13" s="120">
        <v>1.63</v>
      </c>
      <c r="G13" s="220"/>
      <c r="H13" s="222"/>
      <c r="I13" s="15"/>
      <c r="J13" s="15"/>
      <c r="K13" s="15"/>
      <c r="L13" s="15"/>
      <c r="M13" s="15"/>
    </row>
    <row r="14" spans="1:13" ht="31.5" customHeight="1" x14ac:dyDescent="0.3">
      <c r="A14" s="144" t="s">
        <v>43</v>
      </c>
      <c r="B14" s="119" t="s">
        <v>40</v>
      </c>
      <c r="C14" s="157" t="s">
        <v>48</v>
      </c>
      <c r="D14" s="120">
        <v>16.22</v>
      </c>
      <c r="E14" s="120">
        <v>16.22</v>
      </c>
      <c r="F14" s="120">
        <v>16.22</v>
      </c>
      <c r="G14" s="223"/>
      <c r="H14" s="225"/>
      <c r="I14" s="15"/>
      <c r="J14" s="15"/>
      <c r="K14" s="15"/>
      <c r="L14" s="15"/>
      <c r="M14" s="15"/>
    </row>
    <row r="15" spans="1:13" ht="37.5" x14ac:dyDescent="0.3">
      <c r="A15" s="158">
        <v>3</v>
      </c>
      <c r="B15" s="146" t="s">
        <v>143</v>
      </c>
      <c r="C15" s="157"/>
      <c r="D15" s="120">
        <f>D16+D17+D18+D19</f>
        <v>223.79999999999998</v>
      </c>
      <c r="E15" s="120">
        <f t="shared" ref="E15:F15" si="0">E16+E17+E18+E19</f>
        <v>223.79999999999998</v>
      </c>
      <c r="F15" s="120">
        <f t="shared" si="0"/>
        <v>223.79999999999998</v>
      </c>
      <c r="G15" s="214"/>
      <c r="H15" s="216"/>
      <c r="I15" s="15"/>
      <c r="J15" s="15"/>
      <c r="K15" s="15"/>
      <c r="L15" s="15"/>
      <c r="M15" s="15"/>
    </row>
    <row r="16" spans="1:13" ht="42" customHeight="1" x14ac:dyDescent="0.3">
      <c r="A16" s="144" t="s">
        <v>61</v>
      </c>
      <c r="B16" s="119" t="s">
        <v>154</v>
      </c>
      <c r="C16" s="157" t="s">
        <v>44</v>
      </c>
      <c r="D16" s="120">
        <v>4.03</v>
      </c>
      <c r="E16" s="120">
        <v>4.03</v>
      </c>
      <c r="F16" s="120">
        <v>4.03</v>
      </c>
      <c r="G16" s="217" t="s">
        <v>122</v>
      </c>
      <c r="H16" s="219"/>
      <c r="I16" s="15"/>
      <c r="J16" s="15"/>
      <c r="K16" s="15"/>
      <c r="L16" s="15"/>
      <c r="M16" s="15"/>
    </row>
    <row r="17" spans="1:13" ht="31.5" customHeight="1" x14ac:dyDescent="0.3">
      <c r="A17" s="144" t="s">
        <v>62</v>
      </c>
      <c r="B17" s="119" t="s">
        <v>50</v>
      </c>
      <c r="C17" s="157" t="s">
        <v>45</v>
      </c>
      <c r="D17" s="120">
        <v>87.57</v>
      </c>
      <c r="E17" s="120">
        <v>87.57</v>
      </c>
      <c r="F17" s="120">
        <v>87.57</v>
      </c>
      <c r="G17" s="220"/>
      <c r="H17" s="222"/>
      <c r="I17" s="15"/>
      <c r="J17" s="15"/>
      <c r="K17" s="15"/>
      <c r="L17" s="15"/>
      <c r="M17" s="15"/>
    </row>
    <row r="18" spans="1:13" ht="60" customHeight="1" x14ac:dyDescent="0.3">
      <c r="A18" s="144" t="s">
        <v>63</v>
      </c>
      <c r="B18" s="119" t="s">
        <v>145</v>
      </c>
      <c r="C18" s="157" t="s">
        <v>46</v>
      </c>
      <c r="D18" s="120">
        <v>92.88</v>
      </c>
      <c r="E18" s="120">
        <v>92.88</v>
      </c>
      <c r="F18" s="120">
        <v>92.88</v>
      </c>
      <c r="G18" s="223"/>
      <c r="H18" s="225"/>
      <c r="I18" s="15"/>
      <c r="J18" s="15"/>
      <c r="K18" s="15"/>
      <c r="L18" s="15"/>
      <c r="M18" s="15"/>
    </row>
    <row r="19" spans="1:13" ht="42.75" customHeight="1" thickBot="1" x14ac:dyDescent="0.35">
      <c r="A19" s="159" t="s">
        <v>69</v>
      </c>
      <c r="B19" s="123" t="s">
        <v>39</v>
      </c>
      <c r="C19" s="160" t="s">
        <v>47</v>
      </c>
      <c r="D19" s="124">
        <v>39.32</v>
      </c>
      <c r="E19" s="124">
        <v>39.32</v>
      </c>
      <c r="F19" s="124">
        <v>39.32</v>
      </c>
      <c r="G19" s="275" t="s">
        <v>150</v>
      </c>
      <c r="H19" s="276"/>
      <c r="I19" s="15"/>
      <c r="J19" s="15"/>
      <c r="K19" s="15"/>
      <c r="L19" s="15"/>
      <c r="M19" s="15"/>
    </row>
    <row r="20" spans="1:13" ht="24.75" customHeight="1" x14ac:dyDescent="0.3">
      <c r="A20" s="280" t="s">
        <v>151</v>
      </c>
      <c r="B20" s="281"/>
      <c r="C20" s="281"/>
      <c r="D20" s="281"/>
      <c r="E20" s="281"/>
      <c r="F20" s="281"/>
      <c r="G20" s="281"/>
      <c r="H20" s="282"/>
      <c r="I20" s="15"/>
      <c r="J20" s="15"/>
      <c r="K20" s="15"/>
      <c r="L20" s="15"/>
      <c r="M20" s="15"/>
    </row>
    <row r="21" spans="1:13" s="121" customFormat="1" ht="60" customHeight="1" x14ac:dyDescent="0.3">
      <c r="A21" s="118">
        <v>4</v>
      </c>
      <c r="B21" s="119" t="s">
        <v>217</v>
      </c>
      <c r="C21" s="119"/>
      <c r="D21" s="120">
        <f>'Стоимость расходов 2022'!E22</f>
        <v>24083.33</v>
      </c>
      <c r="E21" s="120">
        <f>ROUND(D21*1.04,2)</f>
        <v>25046.66</v>
      </c>
      <c r="F21" s="120">
        <f t="shared" ref="F21:F22" si="1">ROUND(E21*1.04,2)</f>
        <v>26048.53</v>
      </c>
      <c r="G21" s="286" t="s">
        <v>119</v>
      </c>
      <c r="H21" s="287"/>
      <c r="I21" s="20"/>
      <c r="J21" s="20"/>
      <c r="K21" s="20"/>
      <c r="L21" s="20"/>
      <c r="M21" s="20"/>
    </row>
    <row r="22" spans="1:13" s="121" customFormat="1" ht="37.5" customHeight="1" thickBot="1" x14ac:dyDescent="0.35">
      <c r="A22" s="122">
        <v>5</v>
      </c>
      <c r="B22" s="123" t="s">
        <v>65</v>
      </c>
      <c r="C22" s="123"/>
      <c r="D22" s="124">
        <f>'Стоимость расходов 2022'!E23</f>
        <v>734.91</v>
      </c>
      <c r="E22" s="125">
        <f>ROUND(D22*1.04,2)</f>
        <v>764.31</v>
      </c>
      <c r="F22" s="125">
        <f t="shared" si="1"/>
        <v>794.88</v>
      </c>
      <c r="G22" s="284" t="s">
        <v>137</v>
      </c>
      <c r="H22" s="285"/>
      <c r="I22" s="20"/>
      <c r="J22" s="20"/>
      <c r="K22" s="20"/>
      <c r="L22" s="20"/>
      <c r="M22" s="20"/>
    </row>
    <row r="23" spans="1:13" ht="33.75" customHeight="1" x14ac:dyDescent="0.3">
      <c r="A23" s="274" t="s">
        <v>152</v>
      </c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233"/>
    </row>
    <row r="25" spans="1:13" ht="53.25" customHeight="1" x14ac:dyDescent="0.3">
      <c r="A25" s="173" t="s">
        <v>112</v>
      </c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</row>
    <row r="26" spans="1:13" ht="27" customHeight="1" thickBot="1" x14ac:dyDescent="0.35">
      <c r="A26" s="21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2" t="s">
        <v>159</v>
      </c>
    </row>
    <row r="27" spans="1:13" ht="131.25" x14ac:dyDescent="0.3">
      <c r="A27" s="54" t="s">
        <v>0</v>
      </c>
      <c r="B27" s="101" t="s">
        <v>9</v>
      </c>
      <c r="C27" s="102" t="s">
        <v>53</v>
      </c>
      <c r="D27" s="102" t="s">
        <v>54</v>
      </c>
      <c r="E27" s="102" t="s">
        <v>141</v>
      </c>
      <c r="F27" s="103" t="s">
        <v>57</v>
      </c>
      <c r="G27" s="103" t="s">
        <v>58</v>
      </c>
      <c r="H27" s="103" t="s">
        <v>64</v>
      </c>
      <c r="I27" s="103" t="s">
        <v>74</v>
      </c>
      <c r="J27" s="102" t="s">
        <v>75</v>
      </c>
      <c r="K27" s="102" t="s">
        <v>65</v>
      </c>
      <c r="L27" s="102" t="s">
        <v>71</v>
      </c>
      <c r="M27" s="104" t="s">
        <v>72</v>
      </c>
    </row>
    <row r="28" spans="1:13" s="115" customFormat="1" ht="15.75" x14ac:dyDescent="0.25">
      <c r="A28" s="78"/>
      <c r="B28" s="112"/>
      <c r="C28" s="113" t="s">
        <v>12</v>
      </c>
      <c r="D28" s="10" t="s">
        <v>12</v>
      </c>
      <c r="E28" s="114" t="s">
        <v>12</v>
      </c>
      <c r="F28" s="114" t="s">
        <v>12</v>
      </c>
      <c r="G28" s="10" t="s">
        <v>13</v>
      </c>
      <c r="H28" s="10" t="s">
        <v>13</v>
      </c>
      <c r="I28" s="10" t="s">
        <v>13</v>
      </c>
      <c r="J28" s="10" t="s">
        <v>99</v>
      </c>
      <c r="K28" s="10" t="s">
        <v>13</v>
      </c>
      <c r="L28" s="10" t="s">
        <v>13</v>
      </c>
      <c r="M28" s="11" t="s">
        <v>13</v>
      </c>
    </row>
    <row r="29" spans="1:13" s="167" customFormat="1" ht="15" x14ac:dyDescent="0.25">
      <c r="A29" s="164">
        <v>1</v>
      </c>
      <c r="B29" s="165">
        <v>2</v>
      </c>
      <c r="C29" s="165">
        <v>3</v>
      </c>
      <c r="D29" s="165">
        <v>4</v>
      </c>
      <c r="E29" s="165">
        <v>5</v>
      </c>
      <c r="F29" s="165" t="s">
        <v>89</v>
      </c>
      <c r="G29" s="165" t="s">
        <v>90</v>
      </c>
      <c r="H29" s="165" t="s">
        <v>92</v>
      </c>
      <c r="I29" s="165" t="s">
        <v>91</v>
      </c>
      <c r="J29" s="165">
        <v>10</v>
      </c>
      <c r="K29" s="165" t="s">
        <v>93</v>
      </c>
      <c r="L29" s="165" t="s">
        <v>94</v>
      </c>
      <c r="M29" s="166" t="s">
        <v>95</v>
      </c>
    </row>
    <row r="30" spans="1:13" x14ac:dyDescent="0.3">
      <c r="A30" s="272" t="s">
        <v>113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273"/>
    </row>
    <row r="31" spans="1:13" s="108" customFormat="1" x14ac:dyDescent="0.3">
      <c r="A31" s="24">
        <v>2</v>
      </c>
      <c r="B31" s="25" t="str">
        <f>'Стоимость ПУ 2023-2024'!B22</f>
        <v>МКД пр-т. Калинина д. 2 корп. 4</v>
      </c>
      <c r="C31" s="105">
        <f>'Стоимость ПУ 2023-2024'!J22</f>
        <v>78</v>
      </c>
      <c r="D31" s="26">
        <f>'Стоимость ПУ 2023-2024'!K22</f>
        <v>1</v>
      </c>
      <c r="E31" s="27">
        <v>29.84</v>
      </c>
      <c r="F31" s="27">
        <f t="shared" ref="F31:F48" si="2">ROUND(C31*$E$7*E31,2)</f>
        <v>44315.98</v>
      </c>
      <c r="G31" s="27">
        <f t="shared" ref="G31:G48" si="3">ROUND(D31*$E$11*E31,2)</f>
        <v>694.68</v>
      </c>
      <c r="H31" s="27">
        <f t="shared" ref="H31:H48" si="4">IF(D31=0,0,ROUND($E$15*E31,2))</f>
        <v>6678.19</v>
      </c>
      <c r="I31" s="27">
        <f t="shared" ref="I31:I48" si="5">ROUND((F31+G31+H31)*30.3%,2)</f>
        <v>15661.72</v>
      </c>
      <c r="J31" s="27">
        <v>8</v>
      </c>
      <c r="K31" s="27">
        <f t="shared" ref="K31:K48" si="6">IF(C31=0,0,ROUND(J31*$E$22,2))</f>
        <v>6114.48</v>
      </c>
      <c r="L31" s="27">
        <f t="shared" ref="L31:L48" si="7">IF(C31=0,0,$E$21)</f>
        <v>25046.66</v>
      </c>
      <c r="M31" s="106">
        <f t="shared" ref="M31:M48" si="8">F31+G31+K31+L31+I31+H31</f>
        <v>98511.71</v>
      </c>
    </row>
    <row r="32" spans="1:13" s="107" customFormat="1" x14ac:dyDescent="0.3">
      <c r="A32" s="24">
        <v>3</v>
      </c>
      <c r="B32" s="25" t="str">
        <f>'Стоимость ПУ 2023-2024'!B23</f>
        <v>МКД пр-т. Калинина д. 20</v>
      </c>
      <c r="C32" s="109">
        <f>'Стоимость ПУ 2023-2024'!J23</f>
        <v>34</v>
      </c>
      <c r="D32" s="32">
        <f>'Стоимость ПУ 2023-2024'!K23</f>
        <v>1</v>
      </c>
      <c r="E32" s="33">
        <f t="shared" ref="E32:E47" si="9">E31</f>
        <v>29.84</v>
      </c>
      <c r="F32" s="33">
        <f t="shared" si="2"/>
        <v>19317.22</v>
      </c>
      <c r="G32" s="33">
        <f t="shared" si="3"/>
        <v>694.68</v>
      </c>
      <c r="H32" s="33">
        <f t="shared" si="4"/>
        <v>6678.19</v>
      </c>
      <c r="I32" s="33">
        <f t="shared" si="5"/>
        <v>8087.1</v>
      </c>
      <c r="J32" s="33">
        <v>8</v>
      </c>
      <c r="K32" s="33">
        <f t="shared" si="6"/>
        <v>6114.48</v>
      </c>
      <c r="L32" s="33">
        <f t="shared" si="7"/>
        <v>25046.66</v>
      </c>
      <c r="M32" s="106">
        <f t="shared" si="8"/>
        <v>65938.33</v>
      </c>
    </row>
    <row r="33" spans="1:13" s="107" customFormat="1" x14ac:dyDescent="0.3">
      <c r="A33" s="24">
        <v>4</v>
      </c>
      <c r="B33" s="25" t="str">
        <f>'Стоимость ПУ 2023-2024'!B24</f>
        <v>МКД пр-т. Калинина д. 152</v>
      </c>
      <c r="C33" s="109">
        <f>'Стоимость ПУ 2023-2024'!J24</f>
        <v>20</v>
      </c>
      <c r="D33" s="32">
        <f>'Стоимость ПУ 2023-2024'!K24</f>
        <v>1</v>
      </c>
      <c r="E33" s="33">
        <f t="shared" si="9"/>
        <v>29.84</v>
      </c>
      <c r="F33" s="33">
        <f t="shared" si="2"/>
        <v>11363.07</v>
      </c>
      <c r="G33" s="33">
        <f t="shared" si="3"/>
        <v>694.68</v>
      </c>
      <c r="H33" s="33">
        <f t="shared" si="4"/>
        <v>6678.19</v>
      </c>
      <c r="I33" s="33">
        <f t="shared" si="5"/>
        <v>5676.99</v>
      </c>
      <c r="J33" s="33">
        <v>8</v>
      </c>
      <c r="K33" s="33">
        <f t="shared" si="6"/>
        <v>6114.48</v>
      </c>
      <c r="L33" s="33">
        <f t="shared" si="7"/>
        <v>25046.66</v>
      </c>
      <c r="M33" s="110">
        <f t="shared" si="8"/>
        <v>55574.07</v>
      </c>
    </row>
    <row r="34" spans="1:13" s="107" customFormat="1" ht="37.5" x14ac:dyDescent="0.3">
      <c r="A34" s="24">
        <v>5</v>
      </c>
      <c r="B34" s="25" t="str">
        <f>'Стоимость ПУ 2023-2024'!B25</f>
        <v>МКД ул. 295 Стрелковой Дивизии д. 13 корп. 1</v>
      </c>
      <c r="C34" s="109">
        <f>'Стоимость ПУ 2023-2024'!J25</f>
        <v>27</v>
      </c>
      <c r="D34" s="32">
        <f>'Стоимость ПУ 2023-2024'!K25</f>
        <v>1</v>
      </c>
      <c r="E34" s="33">
        <f t="shared" si="9"/>
        <v>29.84</v>
      </c>
      <c r="F34" s="33">
        <f t="shared" si="2"/>
        <v>15340.15</v>
      </c>
      <c r="G34" s="33">
        <f t="shared" si="3"/>
        <v>694.68</v>
      </c>
      <c r="H34" s="33">
        <f t="shared" si="4"/>
        <v>6678.19</v>
      </c>
      <c r="I34" s="33">
        <f t="shared" si="5"/>
        <v>6882.05</v>
      </c>
      <c r="J34" s="33">
        <v>8</v>
      </c>
      <c r="K34" s="33">
        <f t="shared" si="6"/>
        <v>6114.48</v>
      </c>
      <c r="L34" s="33">
        <f t="shared" si="7"/>
        <v>25046.66</v>
      </c>
      <c r="M34" s="110">
        <f t="shared" si="8"/>
        <v>60756.210000000006</v>
      </c>
    </row>
    <row r="35" spans="1:13" s="107" customFormat="1" ht="37.5" x14ac:dyDescent="0.3">
      <c r="A35" s="24">
        <v>6</v>
      </c>
      <c r="B35" s="25" t="str">
        <f>'Стоимость ПУ 2023-2024'!B26</f>
        <v>МКД ул. 295 Стрелковой Дивизии д. 13 корп. 2</v>
      </c>
      <c r="C35" s="109">
        <f>'Стоимость ПУ 2023-2024'!J26</f>
        <v>22</v>
      </c>
      <c r="D35" s="32">
        <f>'Стоимость ПУ 2023-2024'!K26</f>
        <v>1</v>
      </c>
      <c r="E35" s="33">
        <f t="shared" si="9"/>
        <v>29.84</v>
      </c>
      <c r="F35" s="33">
        <f t="shared" si="2"/>
        <v>12499.38</v>
      </c>
      <c r="G35" s="33">
        <f t="shared" si="3"/>
        <v>694.68</v>
      </c>
      <c r="H35" s="33">
        <f t="shared" si="4"/>
        <v>6678.19</v>
      </c>
      <c r="I35" s="33">
        <f t="shared" si="5"/>
        <v>6021.29</v>
      </c>
      <c r="J35" s="33">
        <v>8</v>
      </c>
      <c r="K35" s="33">
        <f t="shared" si="6"/>
        <v>6114.48</v>
      </c>
      <c r="L35" s="33">
        <f t="shared" si="7"/>
        <v>25046.66</v>
      </c>
      <c r="M35" s="110">
        <f t="shared" si="8"/>
        <v>57054.68</v>
      </c>
    </row>
    <row r="36" spans="1:13" s="107" customFormat="1" ht="37.5" x14ac:dyDescent="0.3">
      <c r="A36" s="24">
        <v>7</v>
      </c>
      <c r="B36" s="25" t="str">
        <f>'Стоимость ПУ 2023-2024'!B27</f>
        <v>МКД ул. 295 Стрелковой Дивизии д. 13 корп. 3</v>
      </c>
      <c r="C36" s="109">
        <f>'Стоимость ПУ 2023-2024'!J27</f>
        <v>18</v>
      </c>
      <c r="D36" s="32">
        <f>'Стоимость ПУ 2023-2024'!K27</f>
        <v>1</v>
      </c>
      <c r="E36" s="33">
        <f t="shared" si="9"/>
        <v>29.84</v>
      </c>
      <c r="F36" s="33">
        <f t="shared" si="2"/>
        <v>10226.76</v>
      </c>
      <c r="G36" s="33">
        <f t="shared" si="3"/>
        <v>694.68</v>
      </c>
      <c r="H36" s="33">
        <f t="shared" si="4"/>
        <v>6678.19</v>
      </c>
      <c r="I36" s="33">
        <f t="shared" si="5"/>
        <v>5332.69</v>
      </c>
      <c r="J36" s="33">
        <v>8</v>
      </c>
      <c r="K36" s="33">
        <f t="shared" si="6"/>
        <v>6114.48</v>
      </c>
      <c r="L36" s="33">
        <f t="shared" si="7"/>
        <v>25046.66</v>
      </c>
      <c r="M36" s="110">
        <f t="shared" si="8"/>
        <v>54093.460000000006</v>
      </c>
    </row>
    <row r="37" spans="1:13" s="107" customFormat="1" x14ac:dyDescent="0.3">
      <c r="A37" s="24">
        <v>8</v>
      </c>
      <c r="B37" s="25" t="str">
        <f>'Стоимость ПУ 2023-2024'!B28</f>
        <v>МКД ул. Адмиральского д. 6а</v>
      </c>
      <c r="C37" s="109">
        <f>'Стоимость ПУ 2023-2024'!J28</f>
        <v>38</v>
      </c>
      <c r="D37" s="32">
        <f>'Стоимость ПУ 2023-2024'!K28</f>
        <v>1</v>
      </c>
      <c r="E37" s="33">
        <f t="shared" si="9"/>
        <v>29.84</v>
      </c>
      <c r="F37" s="33">
        <f t="shared" si="2"/>
        <v>21589.84</v>
      </c>
      <c r="G37" s="33">
        <f t="shared" si="3"/>
        <v>694.68</v>
      </c>
      <c r="H37" s="33">
        <f t="shared" si="4"/>
        <v>6678.19</v>
      </c>
      <c r="I37" s="33">
        <f t="shared" si="5"/>
        <v>8775.7000000000007</v>
      </c>
      <c r="J37" s="33">
        <v>8</v>
      </c>
      <c r="K37" s="33">
        <f t="shared" si="6"/>
        <v>6114.48</v>
      </c>
      <c r="L37" s="33">
        <f t="shared" si="7"/>
        <v>25046.66</v>
      </c>
      <c r="M37" s="110">
        <f t="shared" si="8"/>
        <v>68899.55</v>
      </c>
    </row>
    <row r="38" spans="1:13" s="107" customFormat="1" x14ac:dyDescent="0.3">
      <c r="A38" s="24">
        <v>9</v>
      </c>
      <c r="B38" s="25" t="str">
        <f>'Стоимость ПУ 2023-2024'!B29</f>
        <v>МКД ул. Бутырина д. 2</v>
      </c>
      <c r="C38" s="109">
        <f>'Стоимость ПУ 2023-2024'!J29</f>
        <v>46</v>
      </c>
      <c r="D38" s="32">
        <f>'Стоимость ПУ 2023-2024'!K29</f>
        <v>0</v>
      </c>
      <c r="E38" s="33">
        <f t="shared" si="9"/>
        <v>29.84</v>
      </c>
      <c r="F38" s="33">
        <f t="shared" si="2"/>
        <v>26135.07</v>
      </c>
      <c r="G38" s="33">
        <f t="shared" si="3"/>
        <v>0</v>
      </c>
      <c r="H38" s="33">
        <f t="shared" si="4"/>
        <v>0</v>
      </c>
      <c r="I38" s="33">
        <f t="shared" si="5"/>
        <v>7918.93</v>
      </c>
      <c r="J38" s="33">
        <v>8</v>
      </c>
      <c r="K38" s="33">
        <f t="shared" si="6"/>
        <v>6114.48</v>
      </c>
      <c r="L38" s="33">
        <f t="shared" si="7"/>
        <v>25046.66</v>
      </c>
      <c r="M38" s="110">
        <f t="shared" si="8"/>
        <v>65215.14</v>
      </c>
    </row>
    <row r="39" spans="1:13" s="107" customFormat="1" x14ac:dyDescent="0.3">
      <c r="A39" s="24">
        <v>10</v>
      </c>
      <c r="B39" s="25" t="str">
        <f>'Стоимость ПУ 2023-2024'!B30</f>
        <v>МКД ул. Мира д. 37</v>
      </c>
      <c r="C39" s="109">
        <f>'Стоимость ПУ 2023-2024'!J30</f>
        <v>28</v>
      </c>
      <c r="D39" s="32">
        <f>'Стоимость ПУ 2023-2024'!K30</f>
        <v>1</v>
      </c>
      <c r="E39" s="33">
        <f t="shared" si="9"/>
        <v>29.84</v>
      </c>
      <c r="F39" s="33">
        <f t="shared" si="2"/>
        <v>15908.3</v>
      </c>
      <c r="G39" s="33">
        <f t="shared" si="3"/>
        <v>694.68</v>
      </c>
      <c r="H39" s="33">
        <f t="shared" si="4"/>
        <v>6678.19</v>
      </c>
      <c r="I39" s="33">
        <f t="shared" si="5"/>
        <v>7054.19</v>
      </c>
      <c r="J39" s="33">
        <v>8</v>
      </c>
      <c r="K39" s="33">
        <f t="shared" si="6"/>
        <v>6114.48</v>
      </c>
      <c r="L39" s="33">
        <f t="shared" si="7"/>
        <v>25046.66</v>
      </c>
      <c r="M39" s="110">
        <f t="shared" si="8"/>
        <v>61496.5</v>
      </c>
    </row>
    <row r="40" spans="1:13" s="107" customFormat="1" x14ac:dyDescent="0.3">
      <c r="A40" s="24">
        <v>11</v>
      </c>
      <c r="B40" s="25" t="str">
        <f>'Стоимость ПУ 2023-2024'!B31</f>
        <v>МКД ул. Московская д. 36</v>
      </c>
      <c r="C40" s="109">
        <f>'Стоимость ПУ 2023-2024'!J31</f>
        <v>21</v>
      </c>
      <c r="D40" s="32">
        <f>'Стоимость ПУ 2023-2024'!K31</f>
        <v>1</v>
      </c>
      <c r="E40" s="33">
        <f t="shared" si="9"/>
        <v>29.84</v>
      </c>
      <c r="F40" s="33">
        <f t="shared" si="2"/>
        <v>11931.23</v>
      </c>
      <c r="G40" s="33">
        <f t="shared" si="3"/>
        <v>694.68</v>
      </c>
      <c r="H40" s="33">
        <f t="shared" si="4"/>
        <v>6678.19</v>
      </c>
      <c r="I40" s="33">
        <f t="shared" si="5"/>
        <v>5849.14</v>
      </c>
      <c r="J40" s="33">
        <v>8</v>
      </c>
      <c r="K40" s="33">
        <f t="shared" si="6"/>
        <v>6114.48</v>
      </c>
      <c r="L40" s="33">
        <f t="shared" si="7"/>
        <v>25046.66</v>
      </c>
      <c r="M40" s="110">
        <f t="shared" si="8"/>
        <v>56314.380000000005</v>
      </c>
    </row>
    <row r="41" spans="1:13" s="107" customFormat="1" x14ac:dyDescent="0.3">
      <c r="A41" s="24">
        <v>12</v>
      </c>
      <c r="B41" s="25" t="str">
        <f>'Стоимость ПУ 2023-2024'!B32</f>
        <v>МКД ул. Школьная д. 33 корп. 1</v>
      </c>
      <c r="C41" s="109">
        <f>'Стоимость ПУ 2023-2024'!J32</f>
        <v>31</v>
      </c>
      <c r="D41" s="32">
        <f>'Стоимость ПУ 2023-2024'!K32</f>
        <v>1</v>
      </c>
      <c r="E41" s="33">
        <f t="shared" si="9"/>
        <v>29.84</v>
      </c>
      <c r="F41" s="33">
        <f t="shared" si="2"/>
        <v>17612.759999999998</v>
      </c>
      <c r="G41" s="33">
        <f t="shared" si="3"/>
        <v>694.68</v>
      </c>
      <c r="H41" s="33">
        <f t="shared" si="4"/>
        <v>6678.19</v>
      </c>
      <c r="I41" s="33">
        <f t="shared" si="5"/>
        <v>7570.65</v>
      </c>
      <c r="J41" s="33">
        <v>8</v>
      </c>
      <c r="K41" s="33">
        <f t="shared" si="6"/>
        <v>6114.48</v>
      </c>
      <c r="L41" s="33">
        <f t="shared" si="7"/>
        <v>25046.66</v>
      </c>
      <c r="M41" s="110">
        <f t="shared" si="8"/>
        <v>63717.420000000006</v>
      </c>
    </row>
    <row r="42" spans="1:13" s="107" customFormat="1" x14ac:dyDescent="0.3">
      <c r="A42" s="24">
        <v>13</v>
      </c>
      <c r="B42" s="25" t="str">
        <f>'Стоимость ПУ 2023-2024'!B33</f>
        <v>МКД ул. Транзитная д. 2 корп. 6</v>
      </c>
      <c r="C42" s="109">
        <f>'Стоимость ПУ 2023-2024'!J33</f>
        <v>67</v>
      </c>
      <c r="D42" s="32">
        <f>'Стоимость ПУ 2023-2024'!K33</f>
        <v>1</v>
      </c>
      <c r="E42" s="33">
        <f t="shared" si="9"/>
        <v>29.84</v>
      </c>
      <c r="F42" s="33">
        <f t="shared" si="2"/>
        <v>38066.29</v>
      </c>
      <c r="G42" s="33">
        <f t="shared" si="3"/>
        <v>694.68</v>
      </c>
      <c r="H42" s="33">
        <f t="shared" si="4"/>
        <v>6678.19</v>
      </c>
      <c r="I42" s="33">
        <f t="shared" si="5"/>
        <v>13768.07</v>
      </c>
      <c r="J42" s="33">
        <v>8</v>
      </c>
      <c r="K42" s="33">
        <f t="shared" si="6"/>
        <v>6114.48</v>
      </c>
      <c r="L42" s="33">
        <f t="shared" si="7"/>
        <v>25046.66</v>
      </c>
      <c r="M42" s="110">
        <f t="shared" si="8"/>
        <v>90368.37</v>
      </c>
    </row>
    <row r="43" spans="1:13" s="107" customFormat="1" x14ac:dyDescent="0.3">
      <c r="A43" s="24">
        <v>14</v>
      </c>
      <c r="B43" s="25" t="str">
        <f>'Стоимость ПУ 2023-2024'!B34</f>
        <v>МКД ул. Нежнова д. 67 корп. 3</v>
      </c>
      <c r="C43" s="109">
        <f>'Стоимость ПУ 2023-2024'!J34</f>
        <v>28</v>
      </c>
      <c r="D43" s="32">
        <f>'Стоимость ПУ 2023-2024'!K34</f>
        <v>1</v>
      </c>
      <c r="E43" s="33">
        <f t="shared" si="9"/>
        <v>29.84</v>
      </c>
      <c r="F43" s="33">
        <f t="shared" si="2"/>
        <v>15908.3</v>
      </c>
      <c r="G43" s="33">
        <f t="shared" si="3"/>
        <v>694.68</v>
      </c>
      <c r="H43" s="33">
        <f t="shared" si="4"/>
        <v>6678.19</v>
      </c>
      <c r="I43" s="33">
        <f t="shared" si="5"/>
        <v>7054.19</v>
      </c>
      <c r="J43" s="33">
        <v>8</v>
      </c>
      <c r="K43" s="33">
        <f t="shared" si="6"/>
        <v>6114.48</v>
      </c>
      <c r="L43" s="33">
        <f t="shared" si="7"/>
        <v>25046.66</v>
      </c>
      <c r="M43" s="110">
        <f t="shared" si="8"/>
        <v>61496.5</v>
      </c>
    </row>
    <row r="44" spans="1:13" s="107" customFormat="1" x14ac:dyDescent="0.3">
      <c r="A44" s="24">
        <v>15</v>
      </c>
      <c r="B44" s="25" t="str">
        <f>'Стоимость ПУ 2023-2024'!B35</f>
        <v>МКД ул. Кочубея д 19 корп. 1</v>
      </c>
      <c r="C44" s="109">
        <f>'Стоимость ПУ 2023-2024'!J35</f>
        <v>33</v>
      </c>
      <c r="D44" s="32">
        <f>'Стоимость ПУ 2023-2024'!K35</f>
        <v>0</v>
      </c>
      <c r="E44" s="33">
        <f t="shared" si="9"/>
        <v>29.84</v>
      </c>
      <c r="F44" s="33">
        <f t="shared" si="2"/>
        <v>18749.07</v>
      </c>
      <c r="G44" s="33">
        <f t="shared" si="3"/>
        <v>0</v>
      </c>
      <c r="H44" s="33">
        <f t="shared" si="4"/>
        <v>0</v>
      </c>
      <c r="I44" s="33">
        <f t="shared" si="5"/>
        <v>5680.97</v>
      </c>
      <c r="J44" s="33">
        <v>8</v>
      </c>
      <c r="K44" s="33">
        <f t="shared" si="6"/>
        <v>6114.48</v>
      </c>
      <c r="L44" s="33">
        <f t="shared" si="7"/>
        <v>25046.66</v>
      </c>
      <c r="M44" s="110">
        <f t="shared" si="8"/>
        <v>55591.18</v>
      </c>
    </row>
    <row r="45" spans="1:13" s="107" customFormat="1" x14ac:dyDescent="0.3">
      <c r="A45" s="24">
        <v>16</v>
      </c>
      <c r="B45" s="25" t="str">
        <f>'Стоимость ПУ 2023-2024'!B36</f>
        <v>МКД ул. Кооперативная д. 1 корп. 2</v>
      </c>
      <c r="C45" s="109">
        <f>'Стоимость ПУ 2023-2024'!J36</f>
        <v>15</v>
      </c>
      <c r="D45" s="32">
        <f>'Стоимость ПУ 2023-2024'!K36</f>
        <v>1</v>
      </c>
      <c r="E45" s="33">
        <f t="shared" si="9"/>
        <v>29.84</v>
      </c>
      <c r="F45" s="33">
        <f t="shared" si="2"/>
        <v>8522.2999999999993</v>
      </c>
      <c r="G45" s="33">
        <f t="shared" si="3"/>
        <v>694.68</v>
      </c>
      <c r="H45" s="33">
        <f t="shared" si="4"/>
        <v>6678.19</v>
      </c>
      <c r="I45" s="33">
        <f t="shared" si="5"/>
        <v>4816.24</v>
      </c>
      <c r="J45" s="33">
        <v>8</v>
      </c>
      <c r="K45" s="33">
        <f t="shared" si="6"/>
        <v>6114.48</v>
      </c>
      <c r="L45" s="33">
        <f t="shared" si="7"/>
        <v>25046.66</v>
      </c>
      <c r="M45" s="110">
        <f t="shared" si="8"/>
        <v>51872.549999999996</v>
      </c>
    </row>
    <row r="46" spans="1:13" s="107" customFormat="1" x14ac:dyDescent="0.3">
      <c r="A46" s="24">
        <v>17</v>
      </c>
      <c r="B46" s="25" t="str">
        <f>'Стоимость ПУ 2023-2024'!B37</f>
        <v>МКД ул. Розы Люксембург д. 42</v>
      </c>
      <c r="C46" s="109">
        <f>'Стоимость ПУ 2023-2024'!J37</f>
        <v>73</v>
      </c>
      <c r="D46" s="32">
        <f>'Стоимость ПУ 2023-2024'!K37</f>
        <v>1</v>
      </c>
      <c r="E46" s="33">
        <f t="shared" si="9"/>
        <v>29.84</v>
      </c>
      <c r="F46" s="33">
        <f t="shared" si="2"/>
        <v>41475.21</v>
      </c>
      <c r="G46" s="33">
        <f t="shared" si="3"/>
        <v>694.68</v>
      </c>
      <c r="H46" s="33">
        <f t="shared" si="4"/>
        <v>6678.19</v>
      </c>
      <c r="I46" s="33">
        <f t="shared" si="5"/>
        <v>14800.97</v>
      </c>
      <c r="J46" s="33">
        <v>8</v>
      </c>
      <c r="K46" s="33">
        <f t="shared" si="6"/>
        <v>6114.48</v>
      </c>
      <c r="L46" s="33">
        <f t="shared" si="7"/>
        <v>25046.66</v>
      </c>
      <c r="M46" s="110">
        <f t="shared" si="8"/>
        <v>94810.19</v>
      </c>
    </row>
    <row r="47" spans="1:13" s="107" customFormat="1" x14ac:dyDescent="0.3">
      <c r="A47" s="24">
        <v>18</v>
      </c>
      <c r="B47" s="25" t="str">
        <f>'Стоимость ПУ 2023-2024'!B38</f>
        <v>МКД ул. Красная д. 11</v>
      </c>
      <c r="C47" s="109">
        <f>'Стоимость ПУ 2023-2024'!J38</f>
        <v>10</v>
      </c>
      <c r="D47" s="32">
        <f>'Стоимость ПУ 2023-2024'!K38</f>
        <v>1</v>
      </c>
      <c r="E47" s="33">
        <f t="shared" si="9"/>
        <v>29.84</v>
      </c>
      <c r="F47" s="33">
        <f t="shared" si="2"/>
        <v>5681.54</v>
      </c>
      <c r="G47" s="33">
        <f t="shared" si="3"/>
        <v>694.68</v>
      </c>
      <c r="H47" s="33">
        <f t="shared" si="4"/>
        <v>6678.19</v>
      </c>
      <c r="I47" s="33">
        <f t="shared" si="5"/>
        <v>3955.49</v>
      </c>
      <c r="J47" s="33">
        <v>8</v>
      </c>
      <c r="K47" s="33">
        <f t="shared" si="6"/>
        <v>6114.48</v>
      </c>
      <c r="L47" s="33">
        <f t="shared" si="7"/>
        <v>25046.66</v>
      </c>
      <c r="M47" s="110">
        <f t="shared" si="8"/>
        <v>48171.040000000001</v>
      </c>
    </row>
    <row r="48" spans="1:13" s="107" customFormat="1" x14ac:dyDescent="0.3">
      <c r="A48" s="24">
        <v>19</v>
      </c>
      <c r="B48" s="25" t="str">
        <f>'Стоимость ПУ 2023-2024'!B39</f>
        <v>МКД ул. Коллективная д. 3</v>
      </c>
      <c r="C48" s="109">
        <f>'Стоимость ПУ 2023-2024'!J39</f>
        <v>13</v>
      </c>
      <c r="D48" s="32">
        <f>'Стоимость ПУ 2023-2024'!K39</f>
        <v>1</v>
      </c>
      <c r="E48" s="33">
        <f>E47</f>
        <v>29.84</v>
      </c>
      <c r="F48" s="33">
        <f t="shared" si="2"/>
        <v>7386</v>
      </c>
      <c r="G48" s="33">
        <f t="shared" si="3"/>
        <v>694.68</v>
      </c>
      <c r="H48" s="33">
        <f t="shared" si="4"/>
        <v>6678.19</v>
      </c>
      <c r="I48" s="33">
        <f t="shared" si="5"/>
        <v>4471.9399999999996</v>
      </c>
      <c r="J48" s="33">
        <v>8</v>
      </c>
      <c r="K48" s="33">
        <f t="shared" si="6"/>
        <v>6114.48</v>
      </c>
      <c r="L48" s="33">
        <f t="shared" si="7"/>
        <v>25046.66</v>
      </c>
      <c r="M48" s="110">
        <f t="shared" si="8"/>
        <v>50391.950000000004</v>
      </c>
    </row>
    <row r="49" spans="1:13" s="107" customFormat="1" ht="19.5" thickBot="1" x14ac:dyDescent="0.35">
      <c r="A49" s="68" t="s">
        <v>14</v>
      </c>
      <c r="B49" s="69" t="s">
        <v>114</v>
      </c>
      <c r="C49" s="70">
        <f>SUM(C31:C48)</f>
        <v>602</v>
      </c>
      <c r="D49" s="70">
        <f t="shared" ref="D49:M49" si="10">SUM(D31:D48)</f>
        <v>16</v>
      </c>
      <c r="E49" s="70">
        <f t="shared" si="10"/>
        <v>537.11999999999978</v>
      </c>
      <c r="F49" s="70">
        <f t="shared" si="10"/>
        <v>342028.47</v>
      </c>
      <c r="G49" s="70">
        <f t="shared" si="10"/>
        <v>11114.880000000003</v>
      </c>
      <c r="H49" s="70">
        <f t="shared" si="10"/>
        <v>106851.04000000002</v>
      </c>
      <c r="I49" s="70">
        <f t="shared" si="10"/>
        <v>139378.32</v>
      </c>
      <c r="J49" s="70">
        <f t="shared" si="10"/>
        <v>144</v>
      </c>
      <c r="K49" s="70">
        <f t="shared" si="10"/>
        <v>110060.63999999996</v>
      </c>
      <c r="L49" s="70">
        <f t="shared" si="10"/>
        <v>450839.87999999983</v>
      </c>
      <c r="M49" s="111">
        <f t="shared" si="10"/>
        <v>1160273.2300000002</v>
      </c>
    </row>
    <row r="50" spans="1:13" x14ac:dyDescent="0.3">
      <c r="A50" s="272" t="s">
        <v>115</v>
      </c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273"/>
    </row>
    <row r="51" spans="1:13" s="108" customFormat="1" x14ac:dyDescent="0.3">
      <c r="A51" s="24">
        <v>1</v>
      </c>
      <c r="B51" s="25" t="str">
        <f>'Стоимость ПУ 2023-2024'!B42</f>
        <v>МКД пр-т. Калинина д. 2 корп. 1</v>
      </c>
      <c r="C51" s="26">
        <f>'Стоимость ПУ 2023-2024'!J42</f>
        <v>66</v>
      </c>
      <c r="D51" s="26">
        <f>'Стоимость ПУ 2023-2024'!K42</f>
        <v>1</v>
      </c>
      <c r="E51" s="27">
        <f>E48</f>
        <v>29.84</v>
      </c>
      <c r="F51" s="27">
        <f>ROUND(C51*$F$7*E51,2)</f>
        <v>37498.14</v>
      </c>
      <c r="G51" s="27">
        <f>ROUND(D51*$F$11*E51,2)</f>
        <v>694.68</v>
      </c>
      <c r="H51" s="27">
        <f>IF(D51=0,0,ROUND($F$15*E51,2))</f>
        <v>6678.19</v>
      </c>
      <c r="I51" s="27">
        <f>ROUND((F51+G51+H51)*30.3%,2)</f>
        <v>13595.92</v>
      </c>
      <c r="J51" s="27">
        <v>8</v>
      </c>
      <c r="K51" s="27">
        <f>IF(C51=0,0,ROUND(J51*$F$22,2))</f>
        <v>6359.04</v>
      </c>
      <c r="L51" s="27">
        <f>IF(C51=0,0,$F$21)</f>
        <v>26048.53</v>
      </c>
      <c r="M51" s="106">
        <f t="shared" ref="M51:M71" si="11">F51+G51+K51+L51+I51+H51</f>
        <v>90874.5</v>
      </c>
    </row>
    <row r="52" spans="1:13" s="108" customFormat="1" x14ac:dyDescent="0.3">
      <c r="A52" s="24">
        <v>2</v>
      </c>
      <c r="B52" s="25" t="str">
        <f>'Стоимость ПУ 2023-2024'!B43</f>
        <v>МКД пр-т. Калинина д. 2 корп. 2</v>
      </c>
      <c r="C52" s="26">
        <f>'Стоимость ПУ 2023-2024'!J43</f>
        <v>26</v>
      </c>
      <c r="D52" s="26">
        <f>'Стоимость ПУ 2023-2024'!K43</f>
        <v>1</v>
      </c>
      <c r="E52" s="27">
        <f>E51</f>
        <v>29.84</v>
      </c>
      <c r="F52" s="27">
        <f t="shared" ref="F52:F71" si="12">ROUND(C52*$F$7*E52,2)</f>
        <v>14771.99</v>
      </c>
      <c r="G52" s="27">
        <f t="shared" ref="G52:G71" si="13">ROUND(D52*$F$11*E52,2)</f>
        <v>694.68</v>
      </c>
      <c r="H52" s="27">
        <f t="shared" ref="H52:H71" si="14">IF(D52=0,0,ROUND($F$15*E52,2))</f>
        <v>6678.19</v>
      </c>
      <c r="I52" s="27">
        <f t="shared" ref="I52:I71" si="15">ROUND((F52+G52+H52)*30.3%,2)</f>
        <v>6709.89</v>
      </c>
      <c r="J52" s="27">
        <v>8</v>
      </c>
      <c r="K52" s="27">
        <f t="shared" ref="K52:K71" si="16">IF(C52=0,0,ROUND(J52*$F$22,2))</f>
        <v>6359.04</v>
      </c>
      <c r="L52" s="27">
        <f t="shared" ref="L52:L71" si="17">IF(C52=0,0,$F$21)</f>
        <v>26048.53</v>
      </c>
      <c r="M52" s="106">
        <f t="shared" si="11"/>
        <v>61262.32</v>
      </c>
    </row>
    <row r="53" spans="1:13" s="107" customFormat="1" x14ac:dyDescent="0.3">
      <c r="A53" s="24">
        <v>3</v>
      </c>
      <c r="B53" s="25" t="str">
        <f>'Стоимость ПУ 2023-2024'!B44</f>
        <v>МКД пр-т. Калинина д. 2 корп. 3</v>
      </c>
      <c r="C53" s="26">
        <f>'Стоимость ПУ 2023-2024'!J44</f>
        <v>38</v>
      </c>
      <c r="D53" s="26">
        <f>'Стоимость ПУ 2023-2024'!K44</f>
        <v>1</v>
      </c>
      <c r="E53" s="27">
        <f t="shared" ref="E53:E71" si="18">E52</f>
        <v>29.84</v>
      </c>
      <c r="F53" s="27">
        <f t="shared" si="12"/>
        <v>21589.84</v>
      </c>
      <c r="G53" s="27">
        <f t="shared" si="13"/>
        <v>694.68</v>
      </c>
      <c r="H53" s="27">
        <f t="shared" si="14"/>
        <v>6678.19</v>
      </c>
      <c r="I53" s="27">
        <f t="shared" si="15"/>
        <v>8775.7000000000007</v>
      </c>
      <c r="J53" s="27">
        <v>8</v>
      </c>
      <c r="K53" s="27">
        <f t="shared" si="16"/>
        <v>6359.04</v>
      </c>
      <c r="L53" s="27">
        <f t="shared" si="17"/>
        <v>26048.53</v>
      </c>
      <c r="M53" s="106">
        <f t="shared" si="11"/>
        <v>70145.98</v>
      </c>
    </row>
    <row r="54" spans="1:13" s="107" customFormat="1" x14ac:dyDescent="0.3">
      <c r="A54" s="24">
        <v>4</v>
      </c>
      <c r="B54" s="25" t="str">
        <f>'Стоимость ПУ 2023-2024'!B45</f>
        <v>МКД пр-т. Калинина д. 2 корп. 5</v>
      </c>
      <c r="C54" s="26">
        <f>'Стоимость ПУ 2023-2024'!J45</f>
        <v>15</v>
      </c>
      <c r="D54" s="26">
        <f>'Стоимость ПУ 2023-2024'!K45</f>
        <v>1</v>
      </c>
      <c r="E54" s="27">
        <f t="shared" si="18"/>
        <v>29.84</v>
      </c>
      <c r="F54" s="27">
        <f t="shared" si="12"/>
        <v>8522.2999999999993</v>
      </c>
      <c r="G54" s="27">
        <f t="shared" si="13"/>
        <v>694.68</v>
      </c>
      <c r="H54" s="27">
        <f t="shared" si="14"/>
        <v>6678.19</v>
      </c>
      <c r="I54" s="27">
        <f t="shared" si="15"/>
        <v>4816.24</v>
      </c>
      <c r="J54" s="27">
        <v>8</v>
      </c>
      <c r="K54" s="27">
        <f t="shared" si="16"/>
        <v>6359.04</v>
      </c>
      <c r="L54" s="27">
        <f t="shared" si="17"/>
        <v>26048.53</v>
      </c>
      <c r="M54" s="106">
        <f t="shared" si="11"/>
        <v>53118.98</v>
      </c>
    </row>
    <row r="55" spans="1:13" s="107" customFormat="1" x14ac:dyDescent="0.3">
      <c r="A55" s="24">
        <v>5</v>
      </c>
      <c r="B55" s="25" t="str">
        <f>'Стоимость ПУ 2023-2024'!B46</f>
        <v>МКД пр-т. Калинина д. 150</v>
      </c>
      <c r="C55" s="26">
        <f>'Стоимость ПУ 2023-2024'!J46</f>
        <v>25</v>
      </c>
      <c r="D55" s="26">
        <f>'Стоимость ПУ 2023-2024'!K46</f>
        <v>1</v>
      </c>
      <c r="E55" s="27">
        <f t="shared" si="18"/>
        <v>29.84</v>
      </c>
      <c r="F55" s="27">
        <f t="shared" si="12"/>
        <v>14203.84</v>
      </c>
      <c r="G55" s="27">
        <f t="shared" si="13"/>
        <v>694.68</v>
      </c>
      <c r="H55" s="27">
        <f t="shared" si="14"/>
        <v>6678.19</v>
      </c>
      <c r="I55" s="27">
        <f t="shared" si="15"/>
        <v>6537.74</v>
      </c>
      <c r="J55" s="27">
        <v>8</v>
      </c>
      <c r="K55" s="27">
        <f t="shared" si="16"/>
        <v>6359.04</v>
      </c>
      <c r="L55" s="27">
        <f t="shared" si="17"/>
        <v>26048.53</v>
      </c>
      <c r="M55" s="106">
        <f t="shared" si="11"/>
        <v>60522.02</v>
      </c>
    </row>
    <row r="56" spans="1:13" s="107" customFormat="1" x14ac:dyDescent="0.3">
      <c r="A56" s="24">
        <v>6</v>
      </c>
      <c r="B56" s="25" t="str">
        <f>'Стоимость ПУ 2023-2024'!B47</f>
        <v>МКД пр-т. Калинина д. 154</v>
      </c>
      <c r="C56" s="26">
        <f>'Стоимость ПУ 2023-2024'!J47</f>
        <v>32</v>
      </c>
      <c r="D56" s="26">
        <f>'Стоимость ПУ 2023-2024'!K47</f>
        <v>1</v>
      </c>
      <c r="E56" s="27">
        <f t="shared" si="18"/>
        <v>29.84</v>
      </c>
      <c r="F56" s="27">
        <f t="shared" si="12"/>
        <v>18180.919999999998</v>
      </c>
      <c r="G56" s="27">
        <f t="shared" si="13"/>
        <v>694.68</v>
      </c>
      <c r="H56" s="27">
        <f t="shared" si="14"/>
        <v>6678.19</v>
      </c>
      <c r="I56" s="27">
        <f t="shared" si="15"/>
        <v>7742.8</v>
      </c>
      <c r="J56" s="27">
        <v>8</v>
      </c>
      <c r="K56" s="27">
        <f t="shared" si="16"/>
        <v>6359.04</v>
      </c>
      <c r="L56" s="27">
        <f t="shared" si="17"/>
        <v>26048.53</v>
      </c>
      <c r="M56" s="106">
        <f t="shared" si="11"/>
        <v>65704.160000000003</v>
      </c>
    </row>
    <row r="57" spans="1:13" s="107" customFormat="1" x14ac:dyDescent="0.3">
      <c r="A57" s="24">
        <v>7</v>
      </c>
      <c r="B57" s="25" t="str">
        <f>'Стоимость ПУ 2023-2024'!B48</f>
        <v>МКД пр-т. Калинина д. 156</v>
      </c>
      <c r="C57" s="26">
        <f>'Стоимость ПУ 2023-2024'!J48</f>
        <v>31</v>
      </c>
      <c r="D57" s="26">
        <f>'Стоимость ПУ 2023-2024'!K48</f>
        <v>1</v>
      </c>
      <c r="E57" s="27">
        <f t="shared" si="18"/>
        <v>29.84</v>
      </c>
      <c r="F57" s="27">
        <f t="shared" si="12"/>
        <v>17612.759999999998</v>
      </c>
      <c r="G57" s="27">
        <f t="shared" si="13"/>
        <v>694.68</v>
      </c>
      <c r="H57" s="27">
        <f t="shared" si="14"/>
        <v>6678.19</v>
      </c>
      <c r="I57" s="27">
        <f t="shared" si="15"/>
        <v>7570.65</v>
      </c>
      <c r="J57" s="27">
        <v>8</v>
      </c>
      <c r="K57" s="27">
        <f t="shared" si="16"/>
        <v>6359.04</v>
      </c>
      <c r="L57" s="27">
        <f t="shared" si="17"/>
        <v>26048.53</v>
      </c>
      <c r="M57" s="106">
        <f t="shared" si="11"/>
        <v>64963.85</v>
      </c>
    </row>
    <row r="58" spans="1:13" s="107" customFormat="1" x14ac:dyDescent="0.3">
      <c r="A58" s="24">
        <v>8</v>
      </c>
      <c r="B58" s="25" t="str">
        <f>'Стоимость ПУ 2023-2024'!B49</f>
        <v>МКД ул. Воровского  д. 78А</v>
      </c>
      <c r="C58" s="26">
        <f>'Стоимость ПУ 2023-2024'!J49</f>
        <v>82</v>
      </c>
      <c r="D58" s="26">
        <f>'Стоимость ПУ 2023-2024'!K49</f>
        <v>1</v>
      </c>
      <c r="E58" s="27">
        <f t="shared" si="18"/>
        <v>29.84</v>
      </c>
      <c r="F58" s="27">
        <f t="shared" si="12"/>
        <v>46588.6</v>
      </c>
      <c r="G58" s="27">
        <f t="shared" si="13"/>
        <v>694.68</v>
      </c>
      <c r="H58" s="27">
        <f t="shared" si="14"/>
        <v>6678.19</v>
      </c>
      <c r="I58" s="27">
        <f t="shared" si="15"/>
        <v>16350.33</v>
      </c>
      <c r="J58" s="27">
        <v>8</v>
      </c>
      <c r="K58" s="27">
        <f t="shared" si="16"/>
        <v>6359.04</v>
      </c>
      <c r="L58" s="27">
        <f t="shared" si="17"/>
        <v>26048.53</v>
      </c>
      <c r="M58" s="106">
        <f t="shared" si="11"/>
        <v>102719.37000000001</v>
      </c>
    </row>
    <row r="59" spans="1:13" s="107" customFormat="1" x14ac:dyDescent="0.3">
      <c r="A59" s="24">
        <v>9</v>
      </c>
      <c r="B59" s="25" t="str">
        <f>'Стоимость ПУ 2023-2024'!B50</f>
        <v>МКД ул. Ермолова д. 225 корп. 1</v>
      </c>
      <c r="C59" s="26">
        <f>'Стоимость ПУ 2023-2024'!J50</f>
        <v>66</v>
      </c>
      <c r="D59" s="26">
        <f>'Стоимость ПУ 2023-2024'!K50</f>
        <v>1</v>
      </c>
      <c r="E59" s="27">
        <f t="shared" si="18"/>
        <v>29.84</v>
      </c>
      <c r="F59" s="27">
        <f t="shared" si="12"/>
        <v>37498.14</v>
      </c>
      <c r="G59" s="27">
        <f t="shared" si="13"/>
        <v>694.68</v>
      </c>
      <c r="H59" s="27">
        <f t="shared" si="14"/>
        <v>6678.19</v>
      </c>
      <c r="I59" s="27">
        <f t="shared" si="15"/>
        <v>13595.92</v>
      </c>
      <c r="J59" s="27">
        <v>8</v>
      </c>
      <c r="K59" s="27">
        <f t="shared" si="16"/>
        <v>6359.04</v>
      </c>
      <c r="L59" s="27">
        <f t="shared" si="17"/>
        <v>26048.53</v>
      </c>
      <c r="M59" s="106">
        <f t="shared" si="11"/>
        <v>90874.5</v>
      </c>
    </row>
    <row r="60" spans="1:13" s="107" customFormat="1" x14ac:dyDescent="0.3">
      <c r="A60" s="24">
        <v>10</v>
      </c>
      <c r="B60" s="25" t="str">
        <f>'Стоимость ПУ 2023-2024'!B51</f>
        <v>МКД ул. Ессентукская д. 72</v>
      </c>
      <c r="C60" s="26">
        <f>'Стоимость ПУ 2023-2024'!J51</f>
        <v>34</v>
      </c>
      <c r="D60" s="26">
        <f>'Стоимость ПУ 2023-2024'!K51</f>
        <v>1</v>
      </c>
      <c r="E60" s="27">
        <f t="shared" si="18"/>
        <v>29.84</v>
      </c>
      <c r="F60" s="27">
        <f t="shared" si="12"/>
        <v>19317.22</v>
      </c>
      <c r="G60" s="27">
        <f t="shared" si="13"/>
        <v>694.68</v>
      </c>
      <c r="H60" s="27">
        <f t="shared" si="14"/>
        <v>6678.19</v>
      </c>
      <c r="I60" s="27">
        <f t="shared" si="15"/>
        <v>8087.1</v>
      </c>
      <c r="J60" s="27">
        <v>8</v>
      </c>
      <c r="K60" s="27">
        <f t="shared" si="16"/>
        <v>6359.04</v>
      </c>
      <c r="L60" s="27">
        <f t="shared" si="17"/>
        <v>26048.53</v>
      </c>
      <c r="M60" s="106">
        <f t="shared" si="11"/>
        <v>67184.759999999995</v>
      </c>
    </row>
    <row r="61" spans="1:13" s="107" customFormat="1" x14ac:dyDescent="0.3">
      <c r="A61" s="24">
        <v>11</v>
      </c>
      <c r="B61" s="25" t="str">
        <f>'Стоимость ПУ 2023-2024'!B52</f>
        <v>МКД ул. Железнодорожная д. 125</v>
      </c>
      <c r="C61" s="26">
        <f>'Стоимость ПУ 2023-2024'!J52</f>
        <v>69</v>
      </c>
      <c r="D61" s="26">
        <f>'Стоимость ПУ 2023-2024'!K52</f>
        <v>1</v>
      </c>
      <c r="E61" s="27">
        <f t="shared" si="18"/>
        <v>29.84</v>
      </c>
      <c r="F61" s="27">
        <f t="shared" si="12"/>
        <v>39202.6</v>
      </c>
      <c r="G61" s="27">
        <f t="shared" si="13"/>
        <v>694.68</v>
      </c>
      <c r="H61" s="27">
        <f t="shared" si="14"/>
        <v>6678.19</v>
      </c>
      <c r="I61" s="27">
        <f t="shared" si="15"/>
        <v>14112.37</v>
      </c>
      <c r="J61" s="27">
        <v>8</v>
      </c>
      <c r="K61" s="27">
        <f t="shared" si="16"/>
        <v>6359.04</v>
      </c>
      <c r="L61" s="27">
        <f t="shared" si="17"/>
        <v>26048.53</v>
      </c>
      <c r="M61" s="106">
        <f t="shared" si="11"/>
        <v>93095.41</v>
      </c>
    </row>
    <row r="62" spans="1:13" s="107" customFormat="1" x14ac:dyDescent="0.3">
      <c r="A62" s="24">
        <v>12</v>
      </c>
      <c r="B62" s="25" t="str">
        <f>'Стоимость ПУ 2023-2024'!B53</f>
        <v>МКД ул. Кучуры д. 18</v>
      </c>
      <c r="C62" s="26">
        <f>'Стоимость ПУ 2023-2024'!J53</f>
        <v>31</v>
      </c>
      <c r="D62" s="26">
        <f>'Стоимость ПУ 2023-2024'!K53</f>
        <v>1</v>
      </c>
      <c r="E62" s="27">
        <f t="shared" si="18"/>
        <v>29.84</v>
      </c>
      <c r="F62" s="27">
        <f t="shared" si="12"/>
        <v>17612.759999999998</v>
      </c>
      <c r="G62" s="27">
        <f t="shared" si="13"/>
        <v>694.68</v>
      </c>
      <c r="H62" s="27">
        <f t="shared" si="14"/>
        <v>6678.19</v>
      </c>
      <c r="I62" s="27">
        <f t="shared" si="15"/>
        <v>7570.65</v>
      </c>
      <c r="J62" s="27">
        <v>8</v>
      </c>
      <c r="K62" s="27">
        <f t="shared" si="16"/>
        <v>6359.04</v>
      </c>
      <c r="L62" s="27">
        <f t="shared" si="17"/>
        <v>26048.53</v>
      </c>
      <c r="M62" s="106">
        <f t="shared" si="11"/>
        <v>64963.85</v>
      </c>
    </row>
    <row r="63" spans="1:13" s="107" customFormat="1" x14ac:dyDescent="0.3">
      <c r="A63" s="24">
        <v>13</v>
      </c>
      <c r="B63" s="25" t="str">
        <f>'Стоимость ПУ 2023-2024'!B54</f>
        <v>МКД ул. Кучуры д. 20</v>
      </c>
      <c r="C63" s="26">
        <f>'Стоимость ПУ 2023-2024'!J54</f>
        <v>24</v>
      </c>
      <c r="D63" s="26">
        <f>'Стоимость ПУ 2023-2024'!K54</f>
        <v>1</v>
      </c>
      <c r="E63" s="27">
        <f t="shared" si="18"/>
        <v>29.84</v>
      </c>
      <c r="F63" s="27">
        <f t="shared" si="12"/>
        <v>13635.69</v>
      </c>
      <c r="G63" s="27">
        <f t="shared" si="13"/>
        <v>694.68</v>
      </c>
      <c r="H63" s="27">
        <f t="shared" si="14"/>
        <v>6678.19</v>
      </c>
      <c r="I63" s="27">
        <f t="shared" si="15"/>
        <v>6365.59</v>
      </c>
      <c r="J63" s="27">
        <v>8</v>
      </c>
      <c r="K63" s="27">
        <f t="shared" si="16"/>
        <v>6359.04</v>
      </c>
      <c r="L63" s="27">
        <f t="shared" si="17"/>
        <v>26048.53</v>
      </c>
      <c r="M63" s="106">
        <f t="shared" si="11"/>
        <v>59781.72</v>
      </c>
    </row>
    <row r="64" spans="1:13" s="107" customFormat="1" x14ac:dyDescent="0.3">
      <c r="A64" s="24">
        <v>14</v>
      </c>
      <c r="B64" s="25" t="str">
        <f>'Стоимость ПУ 2023-2024'!B55</f>
        <v>МКД ул. Мира д. 35</v>
      </c>
      <c r="C64" s="26">
        <f>'Стоимость ПУ 2023-2024'!J55</f>
        <v>20</v>
      </c>
      <c r="D64" s="26">
        <f>'Стоимость ПУ 2023-2024'!K55</f>
        <v>1</v>
      </c>
      <c r="E64" s="27">
        <f t="shared" si="18"/>
        <v>29.84</v>
      </c>
      <c r="F64" s="27">
        <f t="shared" si="12"/>
        <v>11363.07</v>
      </c>
      <c r="G64" s="27">
        <f t="shared" si="13"/>
        <v>694.68</v>
      </c>
      <c r="H64" s="27">
        <f t="shared" si="14"/>
        <v>6678.19</v>
      </c>
      <c r="I64" s="27">
        <f t="shared" si="15"/>
        <v>5676.99</v>
      </c>
      <c r="J64" s="27">
        <v>8</v>
      </c>
      <c r="K64" s="27">
        <f t="shared" si="16"/>
        <v>6359.04</v>
      </c>
      <c r="L64" s="27">
        <f t="shared" si="17"/>
        <v>26048.53</v>
      </c>
      <c r="M64" s="106">
        <f t="shared" si="11"/>
        <v>56820.5</v>
      </c>
    </row>
    <row r="65" spans="1:13" s="107" customFormat="1" x14ac:dyDescent="0.3">
      <c r="A65" s="24">
        <v>15</v>
      </c>
      <c r="B65" s="25" t="str">
        <f>'Стоимость ПУ 2023-2024'!B56</f>
        <v>МКД ул. Мира д. 46</v>
      </c>
      <c r="C65" s="26">
        <f>'Стоимость ПУ 2023-2024'!J56</f>
        <v>28</v>
      </c>
      <c r="D65" s="26">
        <f>'Стоимость ПУ 2023-2024'!K56</f>
        <v>1</v>
      </c>
      <c r="E65" s="27">
        <f t="shared" si="18"/>
        <v>29.84</v>
      </c>
      <c r="F65" s="27">
        <f t="shared" si="12"/>
        <v>15908.3</v>
      </c>
      <c r="G65" s="27">
        <f t="shared" si="13"/>
        <v>694.68</v>
      </c>
      <c r="H65" s="27">
        <f t="shared" si="14"/>
        <v>6678.19</v>
      </c>
      <c r="I65" s="27">
        <f t="shared" si="15"/>
        <v>7054.19</v>
      </c>
      <c r="J65" s="27">
        <v>8</v>
      </c>
      <c r="K65" s="27">
        <f t="shared" si="16"/>
        <v>6359.04</v>
      </c>
      <c r="L65" s="27">
        <f t="shared" si="17"/>
        <v>26048.53</v>
      </c>
      <c r="M65" s="106">
        <f t="shared" si="11"/>
        <v>62742.930000000008</v>
      </c>
    </row>
    <row r="66" spans="1:13" s="107" customFormat="1" x14ac:dyDescent="0.3">
      <c r="A66" s="24">
        <v>16</v>
      </c>
      <c r="B66" s="25" t="str">
        <f>'Стоимость ПУ 2023-2024'!B57</f>
        <v>МКД ул. Московская д. 32А</v>
      </c>
      <c r="C66" s="26">
        <f>'Стоимость ПУ 2023-2024'!J57</f>
        <v>15</v>
      </c>
      <c r="D66" s="26">
        <f>'Стоимость ПУ 2023-2024'!K57</f>
        <v>1</v>
      </c>
      <c r="E66" s="27">
        <f t="shared" si="18"/>
        <v>29.84</v>
      </c>
      <c r="F66" s="27">
        <f t="shared" si="12"/>
        <v>8522.2999999999993</v>
      </c>
      <c r="G66" s="27">
        <f t="shared" si="13"/>
        <v>694.68</v>
      </c>
      <c r="H66" s="27">
        <f t="shared" si="14"/>
        <v>6678.19</v>
      </c>
      <c r="I66" s="27">
        <f t="shared" si="15"/>
        <v>4816.24</v>
      </c>
      <c r="J66" s="27">
        <v>8</v>
      </c>
      <c r="K66" s="27">
        <f t="shared" si="16"/>
        <v>6359.04</v>
      </c>
      <c r="L66" s="27">
        <f t="shared" si="17"/>
        <v>26048.53</v>
      </c>
      <c r="M66" s="106">
        <f t="shared" si="11"/>
        <v>53118.98</v>
      </c>
    </row>
    <row r="67" spans="1:13" s="107" customFormat="1" x14ac:dyDescent="0.3">
      <c r="A67" s="24">
        <v>17</v>
      </c>
      <c r="B67" s="25" t="str">
        <f>'Стоимость ПУ 2023-2024'!B58</f>
        <v>МКД ул. Первомайская д. 92 корп. 5</v>
      </c>
      <c r="C67" s="26">
        <f>'Стоимость ПУ 2023-2024'!J58</f>
        <v>16</v>
      </c>
      <c r="D67" s="26">
        <f>'Стоимость ПУ 2023-2024'!K58</f>
        <v>1</v>
      </c>
      <c r="E67" s="27">
        <f t="shared" si="18"/>
        <v>29.84</v>
      </c>
      <c r="F67" s="27">
        <f t="shared" si="12"/>
        <v>9090.4599999999991</v>
      </c>
      <c r="G67" s="27">
        <f t="shared" si="13"/>
        <v>694.68</v>
      </c>
      <c r="H67" s="27">
        <f t="shared" si="14"/>
        <v>6678.19</v>
      </c>
      <c r="I67" s="27">
        <f t="shared" si="15"/>
        <v>4988.3900000000003</v>
      </c>
      <c r="J67" s="27">
        <v>8</v>
      </c>
      <c r="K67" s="27">
        <f t="shared" si="16"/>
        <v>6359.04</v>
      </c>
      <c r="L67" s="27">
        <f t="shared" si="17"/>
        <v>26048.53</v>
      </c>
      <c r="M67" s="106">
        <f t="shared" si="11"/>
        <v>53859.29</v>
      </c>
    </row>
    <row r="68" spans="1:13" s="107" customFormat="1" x14ac:dyDescent="0.3">
      <c r="A68" s="24">
        <v>18</v>
      </c>
      <c r="B68" s="25" t="str">
        <f>'Стоимость ПУ 2023-2024'!B59</f>
        <v>МКД ул. Теплосерная д. 123А</v>
      </c>
      <c r="C68" s="26">
        <f>'Стоимость ПУ 2023-2024'!J59</f>
        <v>51</v>
      </c>
      <c r="D68" s="26">
        <f>'Стоимость ПУ 2023-2024'!K59</f>
        <v>1</v>
      </c>
      <c r="E68" s="27">
        <f t="shared" si="18"/>
        <v>29.84</v>
      </c>
      <c r="F68" s="27">
        <f t="shared" si="12"/>
        <v>28975.83</v>
      </c>
      <c r="G68" s="27">
        <f t="shared" si="13"/>
        <v>694.68</v>
      </c>
      <c r="H68" s="27">
        <f t="shared" si="14"/>
        <v>6678.19</v>
      </c>
      <c r="I68" s="27">
        <f t="shared" si="15"/>
        <v>11013.66</v>
      </c>
      <c r="J68" s="27">
        <v>8</v>
      </c>
      <c r="K68" s="27">
        <f t="shared" si="16"/>
        <v>6359.04</v>
      </c>
      <c r="L68" s="27">
        <f t="shared" si="17"/>
        <v>26048.53</v>
      </c>
      <c r="M68" s="106">
        <f t="shared" si="11"/>
        <v>79769.930000000008</v>
      </c>
    </row>
    <row r="69" spans="1:13" s="107" customFormat="1" x14ac:dyDescent="0.3">
      <c r="A69" s="24">
        <v>19</v>
      </c>
      <c r="B69" s="25" t="str">
        <f>'Стоимость ПУ 2023-2024'!B60</f>
        <v>МКД ул. Сергеева д. 8</v>
      </c>
      <c r="C69" s="26">
        <f>'Стоимость ПУ 2023-2024'!J60</f>
        <v>28</v>
      </c>
      <c r="D69" s="26">
        <f>'Стоимость ПУ 2023-2024'!K60</f>
        <v>1</v>
      </c>
      <c r="E69" s="27">
        <f t="shared" si="18"/>
        <v>29.84</v>
      </c>
      <c r="F69" s="27">
        <f t="shared" si="12"/>
        <v>15908.3</v>
      </c>
      <c r="G69" s="27">
        <f t="shared" si="13"/>
        <v>694.68</v>
      </c>
      <c r="H69" s="27">
        <f t="shared" si="14"/>
        <v>6678.19</v>
      </c>
      <c r="I69" s="27">
        <f t="shared" si="15"/>
        <v>7054.19</v>
      </c>
      <c r="J69" s="27">
        <v>8</v>
      </c>
      <c r="K69" s="27">
        <f t="shared" si="16"/>
        <v>6359.04</v>
      </c>
      <c r="L69" s="27">
        <f t="shared" si="17"/>
        <v>26048.53</v>
      </c>
      <c r="M69" s="106">
        <f t="shared" si="11"/>
        <v>62742.930000000008</v>
      </c>
    </row>
    <row r="70" spans="1:13" s="107" customFormat="1" x14ac:dyDescent="0.3">
      <c r="A70" s="24">
        <v>20</v>
      </c>
      <c r="B70" s="25" t="str">
        <f>'Стоимость ПУ 2023-2024'!B61</f>
        <v>МКД ул. Украинская д. 44</v>
      </c>
      <c r="C70" s="26">
        <f>'Стоимость ПУ 2023-2024'!J61</f>
        <v>45</v>
      </c>
      <c r="D70" s="26">
        <f>'Стоимость ПУ 2023-2024'!K61</f>
        <v>1</v>
      </c>
      <c r="E70" s="27">
        <f t="shared" si="18"/>
        <v>29.84</v>
      </c>
      <c r="F70" s="27">
        <f t="shared" si="12"/>
        <v>25566.91</v>
      </c>
      <c r="G70" s="27">
        <f t="shared" si="13"/>
        <v>694.68</v>
      </c>
      <c r="H70" s="27">
        <f t="shared" si="14"/>
        <v>6678.19</v>
      </c>
      <c r="I70" s="27">
        <f t="shared" si="15"/>
        <v>9980.75</v>
      </c>
      <c r="J70" s="27">
        <v>8</v>
      </c>
      <c r="K70" s="27">
        <f t="shared" si="16"/>
        <v>6359.04</v>
      </c>
      <c r="L70" s="27">
        <f t="shared" si="17"/>
        <v>26048.53</v>
      </c>
      <c r="M70" s="106">
        <f t="shared" si="11"/>
        <v>75328.100000000006</v>
      </c>
    </row>
    <row r="71" spans="1:13" s="107" customFormat="1" x14ac:dyDescent="0.3">
      <c r="A71" s="24">
        <v>21</v>
      </c>
      <c r="B71" s="25" t="str">
        <f>'Стоимость ПУ 2023-2024'!B62</f>
        <v>МКД ул. Украинская д. 46</v>
      </c>
      <c r="C71" s="26">
        <f>'Стоимость ПУ 2023-2024'!J62</f>
        <v>23</v>
      </c>
      <c r="D71" s="26">
        <f>'Стоимость ПУ 2023-2024'!K62</f>
        <v>1</v>
      </c>
      <c r="E71" s="27">
        <f t="shared" si="18"/>
        <v>29.84</v>
      </c>
      <c r="F71" s="27">
        <f t="shared" si="12"/>
        <v>13067.53</v>
      </c>
      <c r="G71" s="27">
        <f t="shared" si="13"/>
        <v>694.68</v>
      </c>
      <c r="H71" s="27">
        <f t="shared" si="14"/>
        <v>6678.19</v>
      </c>
      <c r="I71" s="27">
        <f t="shared" si="15"/>
        <v>6193.44</v>
      </c>
      <c r="J71" s="27">
        <v>8</v>
      </c>
      <c r="K71" s="27">
        <f t="shared" si="16"/>
        <v>6359.04</v>
      </c>
      <c r="L71" s="27">
        <f t="shared" si="17"/>
        <v>26048.53</v>
      </c>
      <c r="M71" s="106">
        <f t="shared" si="11"/>
        <v>59041.41</v>
      </c>
    </row>
    <row r="72" spans="1:13" s="107" customFormat="1" ht="19.5" thickBot="1" x14ac:dyDescent="0.35">
      <c r="A72" s="68" t="s">
        <v>14</v>
      </c>
      <c r="B72" s="69" t="s">
        <v>116</v>
      </c>
      <c r="C72" s="70">
        <f>SUM(C51:C71)</f>
        <v>765</v>
      </c>
      <c r="D72" s="70">
        <f>SUM(D51:D71)</f>
        <v>21</v>
      </c>
      <c r="E72" s="70"/>
      <c r="F72" s="71">
        <f>SUM(F51:F71)</f>
        <v>434637.50000000006</v>
      </c>
      <c r="G72" s="71">
        <f>SUM(G51:G71)</f>
        <v>14588.280000000004</v>
      </c>
      <c r="H72" s="71">
        <f>SUM(H51:H71)</f>
        <v>140241.99000000002</v>
      </c>
      <c r="I72" s="71">
        <f>SUM(I51:I71)</f>
        <v>178608.75</v>
      </c>
      <c r="J72" s="71"/>
      <c r="K72" s="71">
        <f>SUM(K51:K71)</f>
        <v>133539.83999999994</v>
      </c>
      <c r="L72" s="71">
        <f>SUM(L51:L71)</f>
        <v>547019.13000000024</v>
      </c>
      <c r="M72" s="111">
        <f>SUM(M51:M71)</f>
        <v>1448635.4899999998</v>
      </c>
    </row>
    <row r="73" spans="1:13" ht="21" customHeight="1" x14ac:dyDescent="0.3">
      <c r="A73" s="233" t="s">
        <v>142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</row>
    <row r="74" spans="1:13" ht="40.5" customHeight="1" x14ac:dyDescent="0.3">
      <c r="A74" s="230" t="s">
        <v>73</v>
      </c>
      <c r="B74" s="230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</row>
    <row r="77" spans="1:13" ht="43.5" customHeight="1" x14ac:dyDescent="0.3"/>
    <row r="78" spans="1:13" s="15" customFormat="1" ht="23.25" customHeight="1" x14ac:dyDescent="0.3">
      <c r="A78" s="151" t="s">
        <v>218</v>
      </c>
      <c r="I78" s="38"/>
      <c r="J78" s="38"/>
      <c r="M78" s="22" t="s">
        <v>219</v>
      </c>
    </row>
    <row r="79" spans="1:13" s="15" customFormat="1" x14ac:dyDescent="0.3">
      <c r="A79" s="28"/>
      <c r="B79" s="28"/>
      <c r="C79" s="28"/>
      <c r="D79" s="28"/>
      <c r="E79" s="76"/>
      <c r="F79" s="28"/>
      <c r="G79" s="28"/>
      <c r="H79" s="28"/>
      <c r="I79" s="73"/>
      <c r="J79" s="73"/>
      <c r="M79" s="140"/>
    </row>
    <row r="80" spans="1:13" s="15" customFormat="1" ht="47.25" customHeight="1" x14ac:dyDescent="0.3">
      <c r="C80" s="134"/>
      <c r="D80" s="134"/>
      <c r="E80" s="134"/>
      <c r="F80" s="134"/>
      <c r="G80" s="134"/>
      <c r="I80" s="38"/>
      <c r="J80" s="38"/>
      <c r="M80" s="22"/>
    </row>
    <row r="81" spans="1:13" s="15" customFormat="1" x14ac:dyDescent="0.3">
      <c r="A81" s="177" t="s">
        <v>220</v>
      </c>
      <c r="B81" s="177"/>
      <c r="C81" s="134"/>
      <c r="D81" s="134"/>
      <c r="E81" s="134"/>
      <c r="F81" s="134"/>
      <c r="G81" s="134"/>
      <c r="I81" s="38"/>
      <c r="J81" s="38"/>
      <c r="M81" s="22" t="s">
        <v>16</v>
      </c>
    </row>
    <row r="82" spans="1:13" s="15" customFormat="1" x14ac:dyDescent="0.3">
      <c r="A82" s="21"/>
      <c r="I82" s="38"/>
      <c r="J82" s="38"/>
      <c r="M82" s="22"/>
    </row>
    <row r="83" spans="1:13" s="15" customFormat="1" x14ac:dyDescent="0.3">
      <c r="A83" s="21"/>
      <c r="I83" s="38"/>
      <c r="J83" s="38"/>
      <c r="M83" s="22"/>
    </row>
    <row r="84" spans="1:13" s="15" customFormat="1" x14ac:dyDescent="0.3">
      <c r="A84" s="151" t="s">
        <v>131</v>
      </c>
      <c r="I84" s="38"/>
      <c r="J84" s="38"/>
      <c r="M84" s="22" t="s">
        <v>17</v>
      </c>
    </row>
    <row r="85" spans="1:13" s="15" customFormat="1" ht="33.75" customHeight="1" x14ac:dyDescent="0.3"/>
    <row r="86" spans="1:13" s="15" customFormat="1" x14ac:dyDescent="0.3">
      <c r="A86" s="151" t="s">
        <v>221</v>
      </c>
      <c r="I86" s="38"/>
      <c r="J86" s="38"/>
      <c r="M86" s="22" t="s">
        <v>222</v>
      </c>
    </row>
  </sheetData>
  <mergeCells count="23">
    <mergeCell ref="A81:B81"/>
    <mergeCell ref="G11:H11"/>
    <mergeCell ref="A74:M74"/>
    <mergeCell ref="G22:H22"/>
    <mergeCell ref="G21:H21"/>
    <mergeCell ref="A50:M50"/>
    <mergeCell ref="A73:M73"/>
    <mergeCell ref="A1:M1"/>
    <mergeCell ref="A30:M30"/>
    <mergeCell ref="A23:M23"/>
    <mergeCell ref="G19:H19"/>
    <mergeCell ref="A25:M25"/>
    <mergeCell ref="G4:H4"/>
    <mergeCell ref="G15:H15"/>
    <mergeCell ref="G8:H10"/>
    <mergeCell ref="G12:H14"/>
    <mergeCell ref="A2:H2"/>
    <mergeCell ref="A3:H3"/>
    <mergeCell ref="G5:H5"/>
    <mergeCell ref="A6:H6"/>
    <mergeCell ref="A20:H20"/>
    <mergeCell ref="G16:H18"/>
    <mergeCell ref="G7:H7"/>
  </mergeCells>
  <conditionalFormatting sqref="I79:J79 M79">
    <cfRule type="cellIs" dxfId="9" priority="17" operator="notEqual">
      <formula>0</formula>
    </cfRule>
  </conditionalFormatting>
  <conditionalFormatting sqref="I78:J79 M79">
    <cfRule type="cellIs" dxfId="8" priority="5" operator="notEqual">
      <formula>0</formula>
    </cfRule>
    <cfRule type="cellIs" dxfId="7" priority="6" operator="notEqual">
      <formula>0</formula>
    </cfRule>
  </conditionalFormatting>
  <conditionalFormatting sqref="I78:J78">
    <cfRule type="cellIs" dxfId="6" priority="4" operator="notEqual">
      <formula>0</formula>
    </cfRule>
  </conditionalFormatting>
  <conditionalFormatting sqref="I80:J84">
    <cfRule type="cellIs" dxfId="5" priority="8" operator="notEqual">
      <formula>0</formula>
    </cfRule>
    <cfRule type="cellIs" dxfId="4" priority="9" operator="notEqual">
      <formula>0</formula>
    </cfRule>
  </conditionalFormatting>
  <conditionalFormatting sqref="I80:J84">
    <cfRule type="cellIs" dxfId="3" priority="7" operator="notEqual">
      <formula>0</formula>
    </cfRule>
  </conditionalFormatting>
  <conditionalFormatting sqref="I86:J86">
    <cfRule type="cellIs" dxfId="2" priority="2" operator="notEqual">
      <formula>0</formula>
    </cfRule>
    <cfRule type="cellIs" dxfId="1" priority="3" operator="notEqual">
      <formula>0</formula>
    </cfRule>
  </conditionalFormatting>
  <conditionalFormatting sqref="I86:J86">
    <cfRule type="cellIs" dxfId="0" priority="1" operator="notEqual">
      <formula>0</formula>
    </cfRule>
  </conditionalFormatting>
  <pageMargins left="0.39370078740157483" right="0.39370078740157483" top="1.1811023622047245" bottom="0.39370078740157483" header="0.31496062992125984" footer="0.31496062992125984"/>
  <pageSetup paperSize="9" scale="41" fitToHeight="2" orientation="landscape" r:id="rId1"/>
  <rowBreaks count="1" manualBreakCount="1">
    <brk id="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Общая стоимость ИП</vt:lpstr>
      <vt:lpstr>Стоимость ПУ 2022</vt:lpstr>
      <vt:lpstr>Стоимость расходов 2022</vt:lpstr>
      <vt:lpstr>Стоимость ПУ 2023-2024</vt:lpstr>
      <vt:lpstr>Стоимость расходов 2023-2024</vt:lpstr>
      <vt:lpstr>'Общая стоимость ИП'!Область_печати</vt:lpstr>
      <vt:lpstr>'Стоимость ПУ 2022'!Область_печати</vt:lpstr>
      <vt:lpstr>'Стоимость ПУ 2023-2024'!Область_печати</vt:lpstr>
      <vt:lpstr>'Стоимость расходов 2022'!Область_печати</vt:lpstr>
      <vt:lpstr>'Стоимость расходов 2023-2024'!Область_печати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2022-04-01T07:18:30Z</cp:lastPrinted>
  <dcterms:created xsi:type="dcterms:W3CDTF">2022-01-25T12:14:16Z</dcterms:created>
  <dcterms:modified xsi:type="dcterms:W3CDTF">2022-04-15T08:25:35Z</dcterms:modified>
</cp:coreProperties>
</file>